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988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<sst xmlns="http://schemas.openxmlformats.org/spreadsheetml/2006/main" count="445" uniqueCount="108">
  <si>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</si>
  <si>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</si>
  <si>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</si>
  <si>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</si>
  <si>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</si>
  <si>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</si>
  <si>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</si>
  <si>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</si>
  <si>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</si>
  <si>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</si>
  <si>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</si>
  <si>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</si>
  <si>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</si>
  <si>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</si>
  <si>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</si>
  <si>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</si>
  <si>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</si>
  <si>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</si>
  <si>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</si>
  <si>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</si>
  <si>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</si>
  <si>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</si>
  <si>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</si>
  <si>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</si>
  <si>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</si>
  <si>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</si>
  <si>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</si>
  <si>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</si>
  <si>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</si>
  <si>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</si>
  <si>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</si>
  <si>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</si>
  <si>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</si>
  <si>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</si>
  <si>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</si>
  <si>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</si>
  <si>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</si>
  <si>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</si>
  <si>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</si>
  <si>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</si>
  <si>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</si>
  <si>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</si>
  <si>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</si>
  <si>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</si>
  <si>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</si>
  <si>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</si>
  <si>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</si>
  <si>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</si>
  <si>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</si>
  <si>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</si>
  <si>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</si>
  <si>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</si>
  <si>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</si>
  <si>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</si>
  <si>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</si>
  <si>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</si>
  <si>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</si>
  <si>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</si>
  <si>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</si>
  <si>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</si>
  <si>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</si>
  <si>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</si>
  <si>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</si>
  <si>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</si>
  <si>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</si>
  <si>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</si>
  <si>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</si>
  <si>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</si>
  <si>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</si>
  <si>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</si>
  <si>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</si>
  <si>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</si>
  <si>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</si>
  <si>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</si>
  <si>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</si>
  <si>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</si>
  <si>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</si>
  <si>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</si>
  <si>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</si>
  <si>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</si>
  <si>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</si>
  <si>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</si>
  <si>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</si>
  <si>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</si>
  <si>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</si>
  <si>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SPTL TOP-12 2017</t>
  </si>
  <si>
    <t>11:00</t>
  </si>
  <si>
    <t>Mika Räsänen</t>
  </si>
  <si>
    <t>PT Espoo</t>
  </si>
  <si>
    <t>Jani Jormanainen</t>
  </si>
  <si>
    <t>Aleksi Mustonen</t>
  </si>
  <si>
    <t>TIP-70</t>
  </si>
  <si>
    <t>Jussi Mäkelä</t>
  </si>
  <si>
    <t>Toni Soine</t>
  </si>
  <si>
    <t>Samuli Soine</t>
  </si>
  <si>
    <t>Riku Autio</t>
  </si>
  <si>
    <t>KoKa</t>
  </si>
  <si>
    <t>LPTS</t>
  </si>
  <si>
    <t>Veikka Flemming</t>
  </si>
  <si>
    <t>Jorma Lahtinen</t>
  </si>
  <si>
    <t>14.12.2018</t>
  </si>
  <si>
    <t>Matias Ojala</t>
  </si>
  <si>
    <t>Roope Kantola</t>
  </si>
  <si>
    <t>TuKa</t>
  </si>
  <si>
    <t>Aleksi Naumi</t>
  </si>
  <si>
    <t>Koka</t>
  </si>
  <si>
    <t>++</t>
  </si>
  <si>
    <t>Alex Naumi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</si>
</sst>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173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173" fontId="3" fillId="0" borderId="10" xfId="47" applyFont="1" applyBorder="1" applyProtection="1">
      <alignment/>
      <protection/>
    </xf>
    <xf numFmtId="173" fontId="3" fillId="0" borderId="11" xfId="47" applyFont="1" applyBorder="1" applyProtection="1">
      <alignment/>
      <protection/>
    </xf>
    <xf numFmtId="173" fontId="3" fillId="0" borderId="12" xfId="47" applyFont="1" applyBorder="1" applyProtection="1">
      <alignment/>
      <protection/>
    </xf>
    <xf numFmtId="173" fontId="3" fillId="0" borderId="13" xfId="4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4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47">
      <alignment/>
      <protection/>
    </xf>
    <xf numFmtId="173" fontId="15" fillId="34" borderId="22" xfId="47" applyFont="1" applyFill="1" applyBorder="1" applyAlignment="1" applyProtection="1">
      <alignment horizontal="center"/>
      <protection/>
    </xf>
    <xf numFmtId="173" fontId="15" fillId="34" borderId="23" xfId="47" applyFont="1" applyFill="1" applyBorder="1" applyAlignment="1" applyProtection="1">
      <alignment horizontal="center"/>
      <protection/>
    </xf>
    <xf numFmtId="173" fontId="15" fillId="0" borderId="22" xfId="47" applyFont="1" applyBorder="1" applyProtection="1">
      <alignment/>
      <protection/>
    </xf>
    <xf numFmtId="173" fontId="15" fillId="0" borderId="23" xfId="47" applyFont="1" applyBorder="1" applyProtection="1">
      <alignment/>
      <protection/>
    </xf>
    <xf numFmtId="173" fontId="16" fillId="0" borderId="24" xfId="47" applyFont="1" applyBorder="1" applyAlignment="1" applyProtection="1">
      <alignment/>
      <protection/>
    </xf>
    <xf numFmtId="173" fontId="16" fillId="0" borderId="25" xfId="47" applyFont="1" applyBorder="1" applyAlignment="1" applyProtection="1">
      <alignment/>
      <protection/>
    </xf>
    <xf numFmtId="173" fontId="15" fillId="0" borderId="26" xfId="47" applyFont="1" applyBorder="1" applyProtection="1">
      <alignment/>
      <protection/>
    </xf>
    <xf numFmtId="173" fontId="15" fillId="0" borderId="27" xfId="47" applyFont="1" applyBorder="1" applyProtection="1">
      <alignment/>
      <protection/>
    </xf>
    <xf numFmtId="173" fontId="15" fillId="34" borderId="26" xfId="47" applyFont="1" applyFill="1" applyBorder="1" applyAlignment="1" applyProtection="1">
      <alignment horizontal="center"/>
      <protection/>
    </xf>
    <xf numFmtId="173" fontId="15" fillId="34" borderId="27" xfId="47" applyFont="1" applyFill="1" applyBorder="1" applyAlignment="1" applyProtection="1">
      <alignment horizontal="center"/>
      <protection/>
    </xf>
    <xf numFmtId="173" fontId="15" fillId="34" borderId="12" xfId="47" applyFont="1" applyFill="1" applyBorder="1" applyAlignment="1" applyProtection="1">
      <alignment horizontal="center"/>
      <protection/>
    </xf>
    <xf numFmtId="173" fontId="15" fillId="0" borderId="17" xfId="47" applyFont="1" applyBorder="1" applyProtection="1">
      <alignment/>
      <protection/>
    </xf>
    <xf numFmtId="173" fontId="16" fillId="0" borderId="28" xfId="4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4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47" applyBorder="1">
      <alignment/>
      <protection/>
    </xf>
    <xf numFmtId="173" fontId="3" fillId="0" borderId="32" xfId="47" applyFont="1" applyBorder="1" applyAlignment="1" applyProtection="1">
      <alignment horizontal="center"/>
      <protection/>
    </xf>
    <xf numFmtId="173" fontId="6" fillId="0" borderId="32" xfId="47" applyFont="1" applyBorder="1" applyAlignment="1" applyProtection="1">
      <alignment horizontal="center"/>
      <protection/>
    </xf>
    <xf numFmtId="173" fontId="6" fillId="0" borderId="36" xfId="47" applyFont="1" applyBorder="1" applyAlignment="1" applyProtection="1">
      <alignment horizontal="center"/>
      <protection/>
    </xf>
    <xf numFmtId="173" fontId="8" fillId="0" borderId="37" xfId="47" applyFont="1" applyBorder="1" applyAlignment="1" applyProtection="1">
      <alignment horizontal="center"/>
      <protection/>
    </xf>
    <xf numFmtId="173" fontId="8" fillId="0" borderId="28" xfId="47" applyFont="1" applyBorder="1" applyAlignment="1" applyProtection="1">
      <alignment horizontal="center"/>
      <protection/>
    </xf>
    <xf numFmtId="173" fontId="8" fillId="0" borderId="38" xfId="47" applyFont="1" applyBorder="1" applyAlignment="1" applyProtection="1">
      <alignment horizontal="center"/>
      <protection/>
    </xf>
    <xf numFmtId="173" fontId="8" fillId="0" borderId="39" xfId="47" applyFont="1" applyBorder="1" applyAlignment="1" applyProtection="1">
      <alignment horizontal="center"/>
      <protection/>
    </xf>
    <xf numFmtId="173" fontId="3" fillId="0" borderId="33" xfId="47" applyFont="1" applyBorder="1" applyProtection="1">
      <alignment/>
      <protection/>
    </xf>
    <xf numFmtId="173" fontId="4" fillId="0" borderId="33" xfId="47" applyBorder="1">
      <alignment/>
      <protection/>
    </xf>
    <xf numFmtId="173" fontId="8" fillId="0" borderId="40" xfId="47" applyFont="1" applyBorder="1" applyAlignment="1" applyProtection="1">
      <alignment horizontal="center"/>
      <protection/>
    </xf>
    <xf numFmtId="173" fontId="8" fillId="0" borderId="40" xfId="4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47" applyBorder="1">
      <alignment/>
      <protection/>
    </xf>
    <xf numFmtId="173" fontId="8" fillId="0" borderId="42" xfId="47" applyFont="1" applyBorder="1" applyAlignment="1" applyProtection="1" quotePrefix="1">
      <alignment horizontal="center"/>
      <protection/>
    </xf>
    <xf numFmtId="173" fontId="6" fillId="34" borderId="22" xfId="47" applyFont="1" applyFill="1" applyBorder="1" applyAlignment="1" applyProtection="1">
      <alignment horizontal="center"/>
      <protection/>
    </xf>
    <xf numFmtId="173" fontId="6" fillId="0" borderId="23" xfId="47" applyFont="1" applyBorder="1" applyProtection="1">
      <alignment/>
      <protection/>
    </xf>
    <xf numFmtId="173" fontId="6" fillId="0" borderId="26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0" borderId="42" xfId="47" applyFont="1" applyBorder="1" applyProtection="1">
      <alignment/>
      <protection/>
    </xf>
    <xf numFmtId="173" fontId="6" fillId="0" borderId="43" xfId="47" applyFont="1" applyBorder="1" applyProtection="1">
      <alignment/>
      <protection/>
    </xf>
    <xf numFmtId="173" fontId="6" fillId="0" borderId="23" xfId="47" applyFont="1" applyBorder="1" applyAlignment="1" applyProtection="1">
      <alignment horizontal="center"/>
      <protection/>
    </xf>
    <xf numFmtId="173" fontId="3" fillId="0" borderId="44" xfId="47" applyFont="1" applyBorder="1" applyProtection="1">
      <alignment/>
      <protection/>
    </xf>
    <xf numFmtId="173" fontId="3" fillId="0" borderId="45" xfId="47" applyFont="1" applyBorder="1" applyProtection="1">
      <alignment/>
      <protection/>
    </xf>
    <xf numFmtId="173" fontId="6" fillId="0" borderId="46" xfId="4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17" xfId="47" applyFont="1" applyBorder="1" applyAlignment="1" applyProtection="1">
      <alignment horizontal="center"/>
      <protection/>
    </xf>
    <xf numFmtId="173" fontId="6" fillId="0" borderId="22" xfId="47" applyFont="1" applyBorder="1" applyAlignment="1" applyProtection="1">
      <alignment horizontal="right"/>
      <protection/>
    </xf>
    <xf numFmtId="173" fontId="6" fillId="0" borderId="47" xfId="47" applyFont="1" applyBorder="1" applyAlignment="1" applyProtection="1">
      <alignment horizontal="right"/>
      <protection/>
    </xf>
    <xf numFmtId="173" fontId="6" fillId="0" borderId="10" xfId="47" applyFont="1" applyBorder="1" applyAlignment="1" applyProtection="1">
      <alignment horizontal="center"/>
      <protection/>
    </xf>
    <xf numFmtId="173" fontId="6" fillId="0" borderId="48" xfId="47" applyFont="1" applyBorder="1" applyAlignment="1" applyProtection="1">
      <alignment horizontal="center"/>
      <protection/>
    </xf>
    <xf numFmtId="173" fontId="6" fillId="0" borderId="33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49" xfId="47" applyFont="1" applyBorder="1" applyProtection="1">
      <alignment/>
      <protection/>
    </xf>
    <xf numFmtId="173" fontId="6" fillId="36" borderId="12" xfId="47" applyFont="1" applyFill="1" applyBorder="1" applyAlignment="1" applyProtection="1">
      <alignment horizontal="left" indent="1"/>
      <protection locked="0"/>
    </xf>
    <xf numFmtId="173" fontId="6" fillId="36" borderId="49" xfId="47" applyFont="1" applyFill="1" applyBorder="1" applyAlignment="1" applyProtection="1">
      <alignment horizontal="left" indent="1"/>
      <protection locked="0"/>
    </xf>
    <xf numFmtId="173" fontId="6" fillId="0" borderId="50" xfId="47" applyFont="1" applyBorder="1" applyAlignment="1" applyProtection="1">
      <alignment horizontal="left" indent="1"/>
      <protection/>
    </xf>
    <xf numFmtId="173" fontId="6" fillId="0" borderId="51" xfId="47" applyFont="1" applyBorder="1" applyAlignment="1" applyProtection="1">
      <alignment horizontal="left" indent="1"/>
      <protection/>
    </xf>
    <xf numFmtId="173" fontId="6" fillId="0" borderId="25" xfId="47" applyFont="1" applyBorder="1" applyAlignment="1" applyProtection="1">
      <alignment horizontal="left" indent="1"/>
      <protection/>
    </xf>
    <xf numFmtId="173" fontId="6" fillId="0" borderId="52" xfId="4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47" applyFont="1" applyBorder="1" applyAlignment="1" applyProtection="1">
      <alignment horizontal="left" indent="1"/>
      <protection/>
    </xf>
    <xf numFmtId="173" fontId="6" fillId="0" borderId="10" xfId="47" applyFont="1" applyBorder="1" applyProtection="1">
      <alignment/>
      <protection/>
    </xf>
    <xf numFmtId="173" fontId="6" fillId="34" borderId="45" xfId="47" applyFont="1" applyFill="1" applyBorder="1" applyAlignment="1" applyProtection="1">
      <alignment horizontal="center"/>
      <protection/>
    </xf>
    <xf numFmtId="173" fontId="6" fillId="0" borderId="45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25" xfId="47" applyFont="1" applyFill="1" applyBorder="1" applyAlignment="1" applyProtection="1">
      <alignment horizontal="right"/>
      <protection/>
    </xf>
    <xf numFmtId="173" fontId="6" fillId="0" borderId="46" xfId="47" applyFont="1" applyBorder="1" applyAlignment="1" applyProtection="1">
      <alignment horizontal="right"/>
      <protection/>
    </xf>
    <xf numFmtId="173" fontId="6" fillId="34" borderId="46" xfId="47" applyFont="1" applyFill="1" applyBorder="1" applyAlignment="1" applyProtection="1">
      <alignment horizontal="right"/>
      <protection/>
    </xf>
    <xf numFmtId="173" fontId="6" fillId="34" borderId="11" xfId="4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47" applyBorder="1">
      <alignment/>
      <protection/>
    </xf>
    <xf numFmtId="173" fontId="15" fillId="34" borderId="17" xfId="47" applyFont="1" applyFill="1" applyBorder="1" applyAlignment="1" applyProtection="1">
      <alignment horizontal="center"/>
      <protection/>
    </xf>
    <xf numFmtId="173" fontId="15" fillId="0" borderId="25" xfId="47" applyFont="1" applyBorder="1" applyProtection="1">
      <alignment/>
      <protection/>
    </xf>
    <xf numFmtId="173" fontId="15" fillId="0" borderId="45" xfId="47" applyFont="1" applyBorder="1" applyProtection="1">
      <alignment/>
      <protection/>
    </xf>
    <xf numFmtId="173" fontId="15" fillId="0" borderId="12" xfId="47" applyFont="1" applyBorder="1" applyProtection="1">
      <alignment/>
      <protection/>
    </xf>
    <xf numFmtId="173" fontId="15" fillId="34" borderId="51" xfId="47" applyFont="1" applyFill="1" applyBorder="1" applyAlignment="1" applyProtection="1">
      <alignment horizontal="center"/>
      <protection/>
    </xf>
    <xf numFmtId="173" fontId="15" fillId="34" borderId="13" xfId="47" applyFont="1" applyFill="1" applyBorder="1" applyAlignment="1" applyProtection="1">
      <alignment horizontal="center"/>
      <protection/>
    </xf>
    <xf numFmtId="173" fontId="15" fillId="0" borderId="51" xfId="47" applyFont="1" applyBorder="1" applyProtection="1">
      <alignment/>
      <protection/>
    </xf>
    <xf numFmtId="173" fontId="15" fillId="0" borderId="13" xfId="47" applyFont="1" applyBorder="1" applyProtection="1">
      <alignment/>
      <protection/>
    </xf>
    <xf numFmtId="173" fontId="15" fillId="0" borderId="42" xfId="47" applyFont="1" applyBorder="1" applyProtection="1">
      <alignment/>
      <protection/>
    </xf>
    <xf numFmtId="173" fontId="15" fillId="0" borderId="49" xfId="47" applyFont="1" applyBorder="1" applyProtection="1">
      <alignment/>
      <protection/>
    </xf>
    <xf numFmtId="173" fontId="15" fillId="0" borderId="52" xfId="47" applyFont="1" applyBorder="1" applyProtection="1">
      <alignment/>
      <protection/>
    </xf>
    <xf numFmtId="173" fontId="15" fillId="0" borderId="30" xfId="47" applyFont="1" applyBorder="1" applyProtection="1">
      <alignment/>
      <protection/>
    </xf>
    <xf numFmtId="173" fontId="15" fillId="34" borderId="52" xfId="47" applyFont="1" applyFill="1" applyBorder="1" applyAlignment="1" applyProtection="1">
      <alignment horizontal="center"/>
      <protection/>
    </xf>
    <xf numFmtId="173" fontId="15" fillId="0" borderId="43" xfId="47" applyFont="1" applyBorder="1" applyProtection="1">
      <alignment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45" xfId="47" applyFont="1" applyBorder="1" applyProtection="1">
      <alignment/>
      <protection/>
    </xf>
    <xf numFmtId="173" fontId="6" fillId="0" borderId="23" xfId="47" applyFont="1" applyBorder="1" applyProtection="1">
      <alignment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13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30" xfId="47" applyFont="1" applyBorder="1" applyProtection="1">
      <alignment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6" fillId="0" borderId="43" xfId="47" applyFont="1" applyBorder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0" borderId="26" xfId="47" applyFont="1" applyBorder="1" applyAlignment="1" applyProtection="1">
      <alignment horizontal="right"/>
      <protection/>
    </xf>
    <xf numFmtId="173" fontId="6" fillId="0" borderId="42" xfId="47" applyFont="1" applyBorder="1" applyAlignment="1" applyProtection="1">
      <alignment horizontal="right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51" xfId="47" applyFont="1" applyFill="1" applyBorder="1" applyAlignment="1" applyProtection="1">
      <alignment horizontal="right"/>
      <protection/>
    </xf>
    <xf numFmtId="173" fontId="6" fillId="0" borderId="51" xfId="47" applyFont="1" applyBorder="1" applyAlignment="1" applyProtection="1">
      <alignment horizontal="right"/>
      <protection/>
    </xf>
    <xf numFmtId="173" fontId="6" fillId="0" borderId="52" xfId="47" applyFont="1" applyBorder="1" applyAlignment="1" applyProtection="1">
      <alignment horizontal="right"/>
      <protection/>
    </xf>
    <xf numFmtId="173" fontId="6" fillId="0" borderId="17" xfId="47" applyFont="1" applyBorder="1" applyAlignment="1" applyProtection="1">
      <alignment horizontal="right"/>
      <protection/>
    </xf>
    <xf numFmtId="173" fontId="6" fillId="0" borderId="12" xfId="47" applyFont="1" applyBorder="1" applyAlignment="1" applyProtection="1">
      <alignment horizontal="right"/>
      <protection/>
    </xf>
    <xf numFmtId="173" fontId="6" fillId="34" borderId="12" xfId="47" applyFont="1" applyFill="1" applyBorder="1" applyAlignment="1" applyProtection="1">
      <alignment horizontal="right"/>
      <protection/>
    </xf>
    <xf numFmtId="173" fontId="6" fillId="0" borderId="49" xfId="47" applyFont="1" applyBorder="1" applyAlignment="1" applyProtection="1">
      <alignment horizontal="right"/>
      <protection/>
    </xf>
    <xf numFmtId="173" fontId="6" fillId="34" borderId="52" xfId="4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47" applyFont="1" applyBorder="1" applyProtection="1">
      <alignment/>
      <protection/>
    </xf>
    <xf numFmtId="173" fontId="6" fillId="0" borderId="45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34" borderId="51" xfId="47" applyFont="1" applyFill="1" applyBorder="1" applyAlignment="1" applyProtection="1">
      <alignment horizontal="center"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51" xfId="47" applyFont="1" applyBorder="1" applyProtection="1">
      <alignment/>
      <protection/>
    </xf>
    <xf numFmtId="173" fontId="6" fillId="0" borderId="13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49" xfId="47" applyFont="1" applyBorder="1" applyProtection="1">
      <alignment/>
      <protection/>
    </xf>
    <xf numFmtId="173" fontId="6" fillId="0" borderId="52" xfId="47" applyFont="1" applyBorder="1" applyProtection="1">
      <alignment/>
      <protection/>
    </xf>
    <xf numFmtId="173" fontId="6" fillId="0" borderId="30" xfId="47" applyFont="1" applyBorder="1" applyProtection="1">
      <alignment/>
      <protection/>
    </xf>
    <xf numFmtId="173" fontId="6" fillId="34" borderId="52" xfId="47" applyFont="1" applyFill="1" applyBorder="1" applyAlignment="1" applyProtection="1">
      <alignment horizontal="center"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2" fillId="0" borderId="33" xfId="47" applyFont="1" applyFill="1" applyBorder="1" applyAlignment="1" applyProtection="1">
      <alignment horizontal="left"/>
      <protection locked="0"/>
    </xf>
    <xf numFmtId="173" fontId="12" fillId="0" borderId="50" xfId="4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47" applyFont="1" applyBorder="1" applyAlignment="1">
      <alignment horizontal="center"/>
      <protection/>
    </xf>
    <xf numFmtId="173" fontId="15" fillId="34" borderId="43" xfId="47" applyFont="1" applyFill="1" applyBorder="1" applyAlignment="1" applyProtection="1">
      <alignment horizontal="center"/>
      <protection/>
    </xf>
    <xf numFmtId="173" fontId="16" fillId="0" borderId="38" xfId="47" applyFont="1" applyBorder="1" applyAlignment="1" applyProtection="1">
      <alignment/>
      <protection/>
    </xf>
    <xf numFmtId="173" fontId="16" fillId="0" borderId="46" xfId="4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47" applyFont="1" applyFill="1" applyBorder="1" applyAlignment="1" applyProtection="1">
      <alignment horizontal="center"/>
      <protection/>
    </xf>
    <xf numFmtId="173" fontId="15" fillId="34" borderId="22" xfId="47" applyFont="1" applyFill="1" applyBorder="1" applyAlignment="1" applyProtection="1">
      <alignment horizontal="right"/>
      <protection/>
    </xf>
    <xf numFmtId="173" fontId="15" fillId="0" borderId="26" xfId="47" applyFont="1" applyBorder="1" applyAlignment="1" applyProtection="1">
      <alignment horizontal="right"/>
      <protection/>
    </xf>
    <xf numFmtId="173" fontId="15" fillId="0" borderId="42" xfId="47" applyFont="1" applyBorder="1" applyAlignment="1" applyProtection="1">
      <alignment horizontal="right"/>
      <protection/>
    </xf>
    <xf numFmtId="173" fontId="15" fillId="0" borderId="22" xfId="47" applyFont="1" applyBorder="1" applyAlignment="1" applyProtection="1">
      <alignment horizontal="right"/>
      <protection/>
    </xf>
    <xf numFmtId="173" fontId="15" fillId="34" borderId="26" xfId="47" applyFont="1" applyFill="1" applyBorder="1" applyAlignment="1" applyProtection="1">
      <alignment horizontal="right"/>
      <protection/>
    </xf>
    <xf numFmtId="173" fontId="15" fillId="34" borderId="12" xfId="47" applyFont="1" applyFill="1" applyBorder="1" applyAlignment="1" applyProtection="1">
      <alignment horizontal="right"/>
      <protection/>
    </xf>
    <xf numFmtId="173" fontId="15" fillId="34" borderId="49" xfId="47" applyFont="1" applyFill="1" applyBorder="1" applyAlignment="1" applyProtection="1">
      <alignment horizontal="right"/>
      <protection/>
    </xf>
    <xf numFmtId="173" fontId="6" fillId="0" borderId="50" xfId="47" applyFont="1" applyBorder="1" applyAlignment="1" applyProtection="1">
      <alignment/>
      <protection locked="0"/>
    </xf>
    <xf numFmtId="173" fontId="6" fillId="0" borderId="50" xfId="4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47" applyFont="1" applyFill="1" applyBorder="1" applyAlignment="1" applyProtection="1">
      <alignment horizontal="left"/>
      <protection locked="0"/>
    </xf>
    <xf numFmtId="173" fontId="6" fillId="36" borderId="73" xfId="47" applyFont="1" applyFill="1" applyBorder="1" applyAlignment="1" applyProtection="1">
      <alignment horizontal="left"/>
      <protection locked="0"/>
    </xf>
    <xf numFmtId="173" fontId="6" fillId="36" borderId="74" xfId="4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47" applyFont="1" applyBorder="1" applyAlignment="1" applyProtection="1">
      <alignment horizontal="center"/>
      <protection/>
    </xf>
    <xf numFmtId="173" fontId="16" fillId="0" borderId="25" xfId="47" applyFont="1" applyBorder="1" applyAlignment="1" applyProtection="1">
      <alignment horizontal="center"/>
      <protection/>
    </xf>
    <xf numFmtId="173" fontId="16" fillId="0" borderId="75" xfId="47" applyFont="1" applyBorder="1" applyAlignment="1" applyProtection="1">
      <alignment horizontal="center"/>
      <protection/>
    </xf>
    <xf numFmtId="173" fontId="16" fillId="0" borderId="46" xfId="47" applyFont="1" applyBorder="1" applyAlignment="1" applyProtection="1">
      <alignment horizontal="center"/>
      <protection/>
    </xf>
    <xf numFmtId="173" fontId="16" fillId="0" borderId="76" xfId="4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4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4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4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4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4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4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47" applyFont="1" applyBorder="1" applyAlignment="1" applyProtection="1">
      <alignment horizontal="right"/>
      <protection/>
    </xf>
    <xf numFmtId="173" fontId="24" fillId="36" borderId="89" xfId="47" applyFont="1" applyFill="1" applyBorder="1" applyAlignment="1" applyProtection="1">
      <alignment horizontal="center"/>
      <protection locked="0"/>
    </xf>
    <xf numFmtId="173" fontId="24" fillId="36" borderId="90" xfId="47" applyFont="1" applyFill="1" applyBorder="1" applyAlignment="1" applyProtection="1">
      <alignment horizontal="center"/>
      <protection locked="0"/>
    </xf>
    <xf numFmtId="173" fontId="16" fillId="0" borderId="91" xfId="47" applyFont="1" applyBorder="1" applyAlignment="1" applyProtection="1">
      <alignment horizontal="right"/>
      <protection/>
    </xf>
    <xf numFmtId="173" fontId="16" fillId="0" borderId="92" xfId="47" applyFont="1" applyBorder="1" applyAlignment="1" applyProtection="1">
      <alignment horizontal="right"/>
      <protection/>
    </xf>
    <xf numFmtId="173" fontId="16" fillId="0" borderId="93" xfId="4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4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47" applyFont="1" applyBorder="1" applyAlignment="1" applyProtection="1">
      <alignment horizontal="center"/>
      <protection/>
    </xf>
    <xf numFmtId="173" fontId="8" fillId="0" borderId="0" xfId="47" applyFont="1" applyBorder="1" applyAlignment="1" applyProtection="1" quotePrefix="1">
      <alignment horizontal="center"/>
      <protection/>
    </xf>
    <xf numFmtId="173" fontId="8" fillId="0" borderId="49" xfId="4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47" applyFont="1" applyBorder="1" applyAlignment="1" applyProtection="1">
      <alignment horizontal="center"/>
      <protection/>
    </xf>
    <xf numFmtId="173" fontId="8" fillId="0" borderId="26" xfId="47" applyFont="1" applyBorder="1" applyAlignment="1" applyProtection="1">
      <alignment horizontal="center"/>
      <protection/>
    </xf>
    <xf numFmtId="173" fontId="8" fillId="0" borderId="22" xfId="47" applyFont="1" applyBorder="1" applyAlignment="1" applyProtection="1">
      <alignment horizontal="center"/>
      <protection/>
    </xf>
    <xf numFmtId="173" fontId="8" fillId="0" borderId="47" xfId="47" applyFont="1" applyBorder="1" applyAlignment="1" applyProtection="1">
      <alignment horizontal="center"/>
      <protection/>
    </xf>
    <xf numFmtId="173" fontId="3" fillId="0" borderId="98" xfId="47" applyFont="1" applyBorder="1" applyAlignment="1" applyProtection="1">
      <alignment horizontal="center"/>
      <protection/>
    </xf>
    <xf numFmtId="173" fontId="8" fillId="0" borderId="98" xfId="47" applyFont="1" applyBorder="1" applyAlignment="1" applyProtection="1">
      <alignment horizontal="center"/>
      <protection/>
    </xf>
    <xf numFmtId="173" fontId="8" fillId="36" borderId="14" xfId="47" applyFont="1" applyFill="1" applyBorder="1" applyAlignment="1" applyProtection="1">
      <alignment horizontal="center"/>
      <protection/>
    </xf>
    <xf numFmtId="173" fontId="8" fillId="36" borderId="99" xfId="4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4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47" applyFont="1" applyFill="1" applyBorder="1" applyAlignment="1" applyProtection="1">
      <alignment horizontal="center"/>
      <protection/>
    </xf>
    <xf numFmtId="173" fontId="8" fillId="34" borderId="17" xfId="4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47" applyFont="1" applyBorder="1" applyAlignment="1" applyProtection="1">
      <alignment horizontal="center"/>
      <protection/>
    </xf>
    <xf numFmtId="173" fontId="26" fillId="0" borderId="103" xfId="47" applyFont="1" applyBorder="1" applyAlignment="1" applyProtection="1">
      <alignment horizontal="center"/>
      <protection/>
    </xf>
    <xf numFmtId="173" fontId="26" fillId="0" borderId="104" xfId="4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4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47" applyFont="1" applyFill="1" applyBorder="1" applyAlignment="1" applyProtection="1">
      <alignment horizontal="center"/>
      <protection/>
    </xf>
    <xf numFmtId="173" fontId="8" fillId="34" borderId="10" xfId="4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4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47" applyFont="1" applyFill="1" applyBorder="1" applyAlignment="1" applyProtection="1">
      <alignment horizontal="center"/>
      <protection/>
    </xf>
    <xf numFmtId="173" fontId="8" fillId="34" borderId="115" xfId="47" applyFont="1" applyFill="1" applyBorder="1" applyAlignment="1" applyProtection="1">
      <alignment horizontal="center"/>
      <protection/>
    </xf>
    <xf numFmtId="173" fontId="26" fillId="0" borderId="99" xfId="47" applyFont="1" applyBorder="1" applyAlignment="1" applyProtection="1">
      <alignment horizontal="center"/>
      <protection/>
    </xf>
    <xf numFmtId="173" fontId="26" fillId="0" borderId="116" xfId="4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47" applyFont="1" applyBorder="1" applyAlignment="1" applyProtection="1">
      <alignment horizontal="center"/>
      <protection/>
    </xf>
    <xf numFmtId="173" fontId="8" fillId="34" borderId="0" xfId="4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47" applyFont="1" applyFill="1" applyBorder="1" applyAlignment="1" applyProtection="1">
      <alignment horizontal="center"/>
      <protection/>
    </xf>
    <xf numFmtId="173" fontId="8" fillId="34" borderId="127" xfId="47" applyFont="1" applyFill="1" applyBorder="1" applyAlignment="1" applyProtection="1">
      <alignment horizontal="center"/>
      <protection/>
    </xf>
    <xf numFmtId="173" fontId="8" fillId="34" borderId="128" xfId="47" applyFont="1" applyFill="1" applyBorder="1" applyAlignment="1" applyProtection="1">
      <alignment horizontal="center"/>
      <protection/>
    </xf>
    <xf numFmtId="173" fontId="8" fillId="34" borderId="129" xfId="47" applyFont="1" applyFill="1" applyBorder="1" applyAlignment="1" applyProtection="1">
      <alignment horizontal="center"/>
      <protection/>
    </xf>
    <xf numFmtId="173" fontId="8" fillId="34" borderId="130" xfId="47" applyFont="1" applyFill="1" applyBorder="1" applyAlignment="1" applyProtection="1">
      <alignment horizontal="center"/>
      <protection/>
    </xf>
    <xf numFmtId="173" fontId="8" fillId="34" borderId="131" xfId="4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47" applyFont="1" applyBorder="1" applyAlignment="1" applyProtection="1">
      <alignment horizontal="center"/>
      <protection/>
    </xf>
    <xf numFmtId="173" fontId="26" fillId="0" borderId="136" xfId="47" applyFont="1" applyBorder="1" applyAlignment="1" applyProtection="1">
      <alignment horizontal="center"/>
      <protection/>
    </xf>
    <xf numFmtId="173" fontId="26" fillId="0" borderId="46" xfId="4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4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47" applyFont="1" applyBorder="1" applyAlignment="1" applyProtection="1">
      <alignment horizontal="left" indent="1"/>
      <protection/>
    </xf>
    <xf numFmtId="173" fontId="23" fillId="0" borderId="97" xfId="47" applyFont="1" applyBorder="1" applyAlignment="1">
      <alignment horizontal="center"/>
      <protection/>
    </xf>
    <xf numFmtId="173" fontId="8" fillId="0" borderId="146" xfId="47" applyFont="1" applyBorder="1" applyAlignment="1" applyProtection="1">
      <alignment horizontal="center"/>
      <protection/>
    </xf>
    <xf numFmtId="173" fontId="23" fillId="0" borderId="98" xfId="47" applyFont="1" applyBorder="1" applyAlignment="1">
      <alignment horizontal="center"/>
      <protection/>
    </xf>
    <xf numFmtId="173" fontId="8" fillId="0" borderId="97" xfId="47" applyFont="1" applyBorder="1" applyAlignment="1" applyProtection="1">
      <alignment horizontal="center"/>
      <protection/>
    </xf>
    <xf numFmtId="173" fontId="7" fillId="0" borderId="97" xfId="47" applyFont="1" applyBorder="1" applyAlignment="1" quotePrefix="1">
      <alignment horizontal="center"/>
      <protection/>
    </xf>
    <xf numFmtId="173" fontId="7" fillId="0" borderId="97" xfId="4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47" applyFill="1">
      <alignment/>
      <protection/>
    </xf>
    <xf numFmtId="173" fontId="7" fillId="0" borderId="0" xfId="47" applyFont="1" applyFill="1" applyBorder="1" applyAlignment="1">
      <alignment horizontal="center"/>
      <protection/>
    </xf>
    <xf numFmtId="173" fontId="24" fillId="0" borderId="0" xfId="47" applyFont="1" applyFill="1" applyBorder="1" applyAlignment="1" applyProtection="1">
      <alignment horizontal="center"/>
      <protection locked="0"/>
    </xf>
    <xf numFmtId="173" fontId="4" fillId="0" borderId="0" xfId="4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4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47" applyFont="1" applyFill="1" applyBorder="1" applyAlignment="1" applyProtection="1">
      <alignment horizontal="center"/>
      <protection/>
    </xf>
    <xf numFmtId="173" fontId="6" fillId="36" borderId="0" xfId="47" applyFont="1" applyFill="1" applyBorder="1" applyAlignment="1" applyProtection="1">
      <alignment horizontal="left" indent="1"/>
      <protection locked="0"/>
    </xf>
    <xf numFmtId="173" fontId="8" fillId="36" borderId="162" xfId="47" applyFont="1" applyFill="1" applyBorder="1" applyAlignment="1" applyProtection="1">
      <alignment horizontal="center"/>
      <protection/>
    </xf>
    <xf numFmtId="173" fontId="6" fillId="36" borderId="11" xfId="4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 horizontal="left"/>
    </xf>
    <xf numFmtId="173" fontId="15" fillId="36" borderId="25" xfId="47" applyFont="1" applyFill="1" applyBorder="1" applyAlignment="1" applyProtection="1" quotePrefix="1">
      <alignment horizontal="center"/>
      <protection locked="0"/>
    </xf>
    <xf numFmtId="173" fontId="18" fillId="0" borderId="17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>
      <alignment horizontal="center"/>
      <protection locked="0"/>
    </xf>
    <xf numFmtId="173" fontId="18" fillId="0" borderId="10" xfId="47" applyFont="1" applyBorder="1" applyAlignment="1" applyProtection="1">
      <alignment horizontal="center"/>
      <protection locked="0"/>
    </xf>
    <xf numFmtId="173" fontId="18" fillId="0" borderId="11" xfId="47" applyFont="1" applyBorder="1" applyAlignment="1" applyProtection="1">
      <alignment horizontal="center"/>
      <protection locked="0"/>
    </xf>
    <xf numFmtId="173" fontId="15" fillId="36" borderId="51" xfId="47" applyFont="1" applyFill="1" applyBorder="1" applyAlignment="1" applyProtection="1">
      <alignment horizontal="center"/>
      <protection locked="0"/>
    </xf>
    <xf numFmtId="173" fontId="18" fillId="0" borderId="13" xfId="47" applyFont="1" applyBorder="1" applyAlignment="1" applyProtection="1">
      <alignment horizontal="center"/>
      <protection locked="0"/>
    </xf>
    <xf numFmtId="173" fontId="15" fillId="36" borderId="51" xfId="47" applyFont="1" applyFill="1" applyBorder="1" applyAlignment="1" applyProtection="1" quotePrefix="1">
      <alignment horizontal="center"/>
      <protection locked="0"/>
    </xf>
    <xf numFmtId="173" fontId="8" fillId="0" borderId="109" xfId="4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3" fontId="18" fillId="0" borderId="12" xfId="47" applyFont="1" applyBorder="1" applyAlignment="1" applyProtection="1">
      <alignment horizontal="center"/>
      <protection locked="0"/>
    </xf>
    <xf numFmtId="173" fontId="26" fillId="0" borderId="22" xfId="4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18" fillId="0" borderId="45" xfId="47" applyFont="1" applyBorder="1" applyAlignment="1" applyProtection="1">
      <alignment horizontal="center"/>
      <protection locked="0"/>
    </xf>
    <xf numFmtId="173" fontId="15" fillId="36" borderId="25" xfId="47" applyFont="1" applyFill="1" applyBorder="1" applyAlignment="1" applyProtection="1">
      <alignment horizontal="center"/>
      <protection locked="0"/>
    </xf>
    <xf numFmtId="173" fontId="15" fillId="36" borderId="55" xfId="47" applyFont="1" applyFill="1" applyBorder="1" applyAlignment="1" applyProtection="1">
      <alignment horizontal="center"/>
      <protection locked="0"/>
    </xf>
    <xf numFmtId="173" fontId="18" fillId="0" borderId="164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 quotePrefix="1">
      <alignment horizontal="center"/>
      <protection locked="0"/>
    </xf>
    <xf numFmtId="173" fontId="15" fillId="39" borderId="25" xfId="47" applyFont="1" applyFill="1" applyBorder="1" applyAlignment="1" applyProtection="1">
      <alignment horizontal="center"/>
      <protection locked="0"/>
    </xf>
    <xf numFmtId="173" fontId="18" fillId="39" borderId="45" xfId="47" applyFont="1" applyFill="1" applyBorder="1" applyAlignment="1" applyProtection="1">
      <alignment horizontal="center"/>
      <protection locked="0"/>
    </xf>
    <xf numFmtId="173" fontId="6" fillId="0" borderId="55" xfId="47" applyFont="1" applyBorder="1" applyAlignment="1" applyProtection="1" quotePrefix="1">
      <alignment horizontal="center"/>
      <protection/>
    </xf>
    <xf numFmtId="173" fontId="6" fillId="0" borderId="164" xfId="47" applyFont="1" applyBorder="1" applyAlignment="1" applyProtection="1">
      <alignment horizontal="center"/>
      <protection/>
    </xf>
    <xf numFmtId="173" fontId="18" fillId="39" borderId="17" xfId="47" applyFont="1" applyFill="1" applyBorder="1" applyAlignment="1" applyProtection="1">
      <alignment horizontal="center"/>
      <protection locked="0"/>
    </xf>
    <xf numFmtId="173" fontId="15" fillId="39" borderId="46" xfId="47" applyFont="1" applyFill="1" applyBorder="1" applyAlignment="1" applyProtection="1">
      <alignment horizontal="center"/>
      <protection locked="0"/>
    </xf>
    <xf numFmtId="173" fontId="15" fillId="39" borderId="11" xfId="47" applyFont="1" applyFill="1" applyBorder="1" applyAlignment="1" applyProtection="1">
      <alignment horizontal="center"/>
      <protection locked="0"/>
    </xf>
    <xf numFmtId="173" fontId="15" fillId="39" borderId="48" xfId="47" applyFont="1" applyFill="1" applyBorder="1" applyAlignment="1" applyProtection="1">
      <alignment horizontal="center"/>
      <protection locked="0"/>
    </xf>
    <xf numFmtId="173" fontId="26" fillId="0" borderId="47" xfId="4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5" fillId="39" borderId="50" xfId="47" applyFont="1" applyFill="1" applyBorder="1" applyAlignment="1" applyProtection="1">
      <alignment horizontal="center"/>
      <protection locked="0"/>
    </xf>
    <xf numFmtId="173" fontId="18" fillId="39" borderId="33" xfId="47" applyFont="1" applyFill="1" applyBorder="1" applyAlignment="1" applyProtection="1">
      <alignment horizontal="center"/>
      <protection locked="0"/>
    </xf>
    <xf numFmtId="173" fontId="6" fillId="0" borderId="55" xfId="4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3" fontId="18" fillId="39" borderId="44" xfId="47" applyFont="1" applyFill="1" applyBorder="1" applyAlignment="1" applyProtection="1">
      <alignment horizontal="center"/>
      <protection locked="0"/>
    </xf>
    <xf numFmtId="173" fontId="15" fillId="39" borderId="50" xfId="47" applyFont="1" applyFill="1" applyBorder="1" applyAlignment="1" applyProtection="1" quotePrefix="1">
      <alignment horizontal="center"/>
      <protection locked="0"/>
    </xf>
    <xf numFmtId="173" fontId="12" fillId="0" borderId="165" xfId="4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3" fontId="12" fillId="0" borderId="54" xfId="4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3" fontId="6" fillId="0" borderId="168" xfId="4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3" fontId="7" fillId="0" borderId="55" xfId="4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8" fillId="0" borderId="168" xfId="4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2" fontId="12" fillId="0" borderId="169" xfId="4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4" xfId="0" applyNumberFormat="1" applyFont="1" applyBorder="1" applyAlignment="1">
      <alignment horizontal="left"/>
    </xf>
    <xf numFmtId="173" fontId="6" fillId="0" borderId="168" xfId="47" applyFont="1" applyBorder="1" applyAlignment="1" applyProtection="1">
      <alignment horizontal="center"/>
      <protection/>
    </xf>
    <xf numFmtId="173" fontId="7" fillId="0" borderId="36" xfId="47" applyFont="1" applyBorder="1" applyAlignment="1">
      <alignment horizontal="center"/>
      <protection/>
    </xf>
    <xf numFmtId="173" fontId="7" fillId="0" borderId="168" xfId="47" applyFont="1" applyBorder="1" applyAlignment="1" quotePrefix="1">
      <alignment horizontal="center"/>
      <protection/>
    </xf>
    <xf numFmtId="173" fontId="18" fillId="39" borderId="11" xfId="47" applyFont="1" applyFill="1" applyBorder="1" applyAlignment="1" applyProtection="1">
      <alignment horizontal="center"/>
      <protection locked="0"/>
    </xf>
    <xf numFmtId="173" fontId="18" fillId="39" borderId="10" xfId="47" applyFont="1" applyFill="1" applyBorder="1" applyAlignment="1" applyProtection="1">
      <alignment horizontal="center"/>
      <protection locked="0"/>
    </xf>
    <xf numFmtId="173" fontId="7" fillId="0" borderId="33" xfId="47" applyFont="1" applyBorder="1" applyAlignment="1">
      <alignment horizontal="center"/>
      <protection/>
    </xf>
    <xf numFmtId="173" fontId="6" fillId="0" borderId="50" xfId="47" applyFont="1" applyBorder="1" applyAlignment="1" applyProtection="1">
      <alignment horizontal="center"/>
      <protection/>
    </xf>
    <xf numFmtId="173" fontId="7" fillId="0" borderId="44" xfId="47" applyFont="1" applyBorder="1" applyAlignment="1">
      <alignment horizontal="center"/>
      <protection/>
    </xf>
    <xf numFmtId="173" fontId="6" fillId="0" borderId="33" xfId="47" applyFont="1" applyBorder="1" applyAlignment="1" applyProtection="1">
      <alignment horizontal="center"/>
      <protection/>
    </xf>
    <xf numFmtId="173" fontId="7" fillId="0" borderId="33" xfId="47" applyFont="1" applyBorder="1" applyAlignment="1" quotePrefix="1">
      <alignment horizontal="center"/>
      <protection/>
    </xf>
    <xf numFmtId="173" fontId="7" fillId="0" borderId="46" xfId="4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3" fontId="8" fillId="0" borderId="39" xfId="47" applyFont="1" applyBorder="1" applyAlignment="1" applyProtection="1">
      <alignment horizontal="center"/>
      <protection/>
    </xf>
    <xf numFmtId="173" fontId="23" fillId="0" borderId="97" xfId="47" applyFont="1" applyBorder="1" applyAlignment="1">
      <alignment horizontal="center"/>
      <protection/>
    </xf>
    <xf numFmtId="173" fontId="6" fillId="0" borderId="50" xfId="4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3" fontId="6" fillId="36" borderId="46" xfId="47" applyFont="1" applyFill="1" applyBorder="1" applyAlignment="1" applyProtection="1">
      <alignment horizontal="center"/>
      <protection locked="0"/>
    </xf>
    <xf numFmtId="173" fontId="7" fillId="0" borderId="10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>
      <alignment horizontal="center"/>
      <protection locked="0"/>
    </xf>
    <xf numFmtId="173" fontId="7" fillId="0" borderId="45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 quotePrefix="1">
      <alignment horizontal="center"/>
      <protection locked="0"/>
    </xf>
    <xf numFmtId="173" fontId="7" fillId="0" borderId="11" xfId="47" applyFont="1" applyBorder="1" applyAlignment="1" applyProtection="1">
      <alignment horizontal="center"/>
      <protection locked="0"/>
    </xf>
    <xf numFmtId="173" fontId="7" fillId="0" borderId="17" xfId="47" applyFont="1" applyBorder="1" applyAlignment="1" applyProtection="1">
      <alignment horizontal="center"/>
      <protection locked="0"/>
    </xf>
    <xf numFmtId="173" fontId="6" fillId="36" borderId="51" xfId="47" applyFont="1" applyFill="1" applyBorder="1" applyAlignment="1" applyProtection="1">
      <alignment horizontal="center"/>
      <protection locked="0"/>
    </xf>
    <xf numFmtId="173" fontId="7" fillId="0" borderId="12" xfId="47" applyFont="1" applyBorder="1" applyAlignment="1" applyProtection="1">
      <alignment horizontal="center"/>
      <protection locked="0"/>
    </xf>
    <xf numFmtId="173" fontId="7" fillId="0" borderId="13" xfId="47" applyFont="1" applyBorder="1" applyAlignment="1" applyProtection="1">
      <alignment horizontal="center"/>
      <protection locked="0"/>
    </xf>
    <xf numFmtId="173" fontId="7" fillId="0" borderId="168" xfId="47" applyFont="1" applyBorder="1" applyAlignment="1">
      <alignment horizontal="center"/>
      <protection/>
    </xf>
    <xf numFmtId="173" fontId="24" fillId="36" borderId="22" xfId="47" applyFont="1" applyFill="1" applyBorder="1" applyAlignment="1" applyProtection="1">
      <alignment horizontal="center"/>
      <protection locked="0"/>
    </xf>
    <xf numFmtId="173" fontId="24" fillId="36" borderId="23" xfId="47" applyFont="1" applyFill="1" applyBorder="1" applyAlignment="1" applyProtection="1">
      <alignment horizontal="center"/>
      <protection locked="0"/>
    </xf>
    <xf numFmtId="173" fontId="6" fillId="0" borderId="46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46" xfId="47" applyFont="1" applyBorder="1" applyAlignment="1" applyProtection="1" quotePrefix="1">
      <alignment horizontal="center"/>
      <protection/>
    </xf>
    <xf numFmtId="173" fontId="6" fillId="36" borderId="51" xfId="47" applyFont="1" applyFill="1" applyBorder="1" applyAlignment="1" applyProtection="1" quotePrefix="1">
      <alignment horizontal="center"/>
      <protection locked="0"/>
    </xf>
    <xf numFmtId="173" fontId="24" fillId="36" borderId="47" xfId="47" applyFont="1" applyFill="1" applyBorder="1" applyAlignment="1" applyProtection="1">
      <alignment horizontal="center"/>
      <protection locked="0"/>
    </xf>
    <xf numFmtId="173" fontId="24" fillId="36" borderId="48" xfId="47" applyFont="1" applyFill="1" applyBorder="1" applyAlignment="1" applyProtection="1">
      <alignment horizontal="center"/>
      <protection locked="0"/>
    </xf>
    <xf numFmtId="173" fontId="6" fillId="0" borderId="171" xfId="4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3" fontId="23" fillId="0" borderId="33" xfId="47" applyFont="1" applyBorder="1" applyAlignment="1">
      <alignment horizontal="center"/>
      <protection/>
    </xf>
    <xf numFmtId="173" fontId="8" fillId="0" borderId="50" xfId="47" applyFont="1" applyBorder="1" applyAlignment="1" applyProtection="1">
      <alignment horizontal="center"/>
      <protection/>
    </xf>
    <xf numFmtId="173" fontId="23" fillId="0" borderId="44" xfId="47" applyFont="1" applyBorder="1" applyAlignment="1">
      <alignment horizontal="center"/>
      <protection/>
    </xf>
    <xf numFmtId="173" fontId="8" fillId="0" borderId="33" xfId="4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3" fontId="6" fillId="36" borderId="11" xfId="47" applyFont="1" applyFill="1" applyBorder="1" applyAlignment="1" applyProtection="1">
      <alignment horizontal="center"/>
      <protection locked="0"/>
    </xf>
    <xf numFmtId="173" fontId="6" fillId="36" borderId="45" xfId="47" applyFont="1" applyFill="1" applyBorder="1" applyAlignment="1" applyProtection="1" quotePrefix="1">
      <alignment horizontal="center"/>
      <protection locked="0"/>
    </xf>
    <xf numFmtId="173" fontId="6" fillId="36" borderId="45" xfId="47" applyFont="1" applyFill="1" applyBorder="1" applyAlignment="1" applyProtection="1">
      <alignment horizontal="center"/>
      <protection locked="0"/>
    </xf>
    <xf numFmtId="173" fontId="6" fillId="36" borderId="50" xfId="47" applyFont="1" applyFill="1" applyBorder="1" applyAlignment="1" applyProtection="1" quotePrefix="1">
      <alignment horizontal="center"/>
      <protection locked="0"/>
    </xf>
    <xf numFmtId="173" fontId="7" fillId="0" borderId="44" xfId="47" applyFont="1" applyBorder="1" applyAlignment="1" applyProtection="1">
      <alignment horizontal="center"/>
      <protection locked="0"/>
    </xf>
    <xf numFmtId="173" fontId="6" fillId="36" borderId="50" xfId="47" applyFont="1" applyFill="1" applyBorder="1" applyAlignment="1" applyProtection="1">
      <alignment horizontal="center"/>
      <protection locked="0"/>
    </xf>
    <xf numFmtId="173" fontId="6" fillId="0" borderId="35" xfId="47" applyFont="1" applyBorder="1" applyAlignment="1" applyProtection="1">
      <alignment horizontal="center"/>
      <protection/>
    </xf>
    <xf numFmtId="173" fontId="7" fillId="0" borderId="173" xfId="47" applyFont="1" applyBorder="1" applyAlignment="1">
      <alignment horizontal="center"/>
      <protection/>
    </xf>
    <xf numFmtId="173" fontId="8" fillId="0" borderId="32" xfId="47" applyFont="1" applyBorder="1" applyAlignment="1" applyProtection="1">
      <alignment horizontal="center"/>
      <protection/>
    </xf>
    <xf numFmtId="173" fontId="23" fillId="0" borderId="35" xfId="47" applyFont="1" applyBorder="1" applyAlignment="1">
      <alignment horizontal="center"/>
      <protection/>
    </xf>
    <xf numFmtId="173" fontId="8" fillId="0" borderId="35" xfId="4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2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8" fillId="0" borderId="175" xfId="47" applyFont="1" applyBorder="1" applyAlignment="1" applyProtection="1">
      <alignment horizontal="center"/>
      <protection/>
    </xf>
    <xf numFmtId="173" fontId="23" fillId="0" borderId="175" xfId="47" applyFont="1" applyBorder="1" applyAlignment="1">
      <alignment horizontal="center"/>
      <protection/>
    </xf>
    <xf numFmtId="173" fontId="8" fillId="0" borderId="150" xfId="47" applyFont="1" applyBorder="1" applyAlignment="1" applyProtection="1">
      <alignment horizontal="center"/>
      <protection/>
    </xf>
    <xf numFmtId="173" fontId="8" fillId="0" borderId="176" xfId="47" applyFont="1" applyBorder="1" applyAlignment="1" applyProtection="1">
      <alignment horizontal="center"/>
      <protection/>
    </xf>
    <xf numFmtId="173" fontId="23" fillId="0" borderId="177" xfId="47" applyFont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66675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1432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="75" zoomScaleNormal="75" zoomScaleSheetLayoutView="100" zoomScalePageLayoutView="0" workbookViewId="0" topLeftCell="A83">
      <selection activeCell="E44" sqref="E44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7.2148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7.25">
      <c r="B1" s="29" t="s">
        <v>85</v>
      </c>
      <c r="G1" s="191"/>
      <c r="U1" s="243" t="s">
        <v>60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75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38</v>
      </c>
      <c r="C2" s="30"/>
      <c r="D2" s="30"/>
      <c r="E2" s="30"/>
      <c r="F2" s="30"/>
      <c r="U2" t="s">
        <v>61</v>
      </c>
      <c r="AM2" s="333" t="s">
        <v>82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56</v>
      </c>
      <c r="C3" s="396"/>
      <c r="D3" s="396"/>
      <c r="E3" s="396"/>
      <c r="F3" s="396"/>
      <c r="G3" s="396"/>
      <c r="H3" s="396"/>
      <c r="I3" s="396"/>
      <c r="J3" s="396"/>
      <c r="K3" s="398" t="s">
        <v>100</v>
      </c>
      <c r="L3" s="394"/>
      <c r="M3" s="394"/>
      <c r="U3" s="243" t="s">
        <v>59</v>
      </c>
      <c r="AI3" s="197"/>
      <c r="AM3" s="328" t="s">
        <v>77</v>
      </c>
    </row>
    <row r="4" spans="6:39" ht="15.75" thickBot="1">
      <c r="F4" s="190" t="s">
        <v>58</v>
      </c>
      <c r="AM4" s="328" t="s">
        <v>83</v>
      </c>
    </row>
    <row r="5" spans="3:73" ht="15">
      <c r="C5" s="87"/>
      <c r="D5" s="226"/>
      <c r="E5" s="85" t="s">
        <v>68</v>
      </c>
      <c r="F5" s="35"/>
      <c r="G5" s="35"/>
      <c r="H5" s="35"/>
      <c r="I5" s="36"/>
      <c r="J5" s="35"/>
      <c r="K5" s="381"/>
      <c r="L5" s="381"/>
      <c r="M5" s="496"/>
      <c r="N5" s="523"/>
      <c r="O5" s="523"/>
      <c r="P5" s="524"/>
      <c r="Q5" s="382" t="s">
        <v>0</v>
      </c>
      <c r="R5" s="383"/>
      <c r="S5" s="525" t="s">
        <v>39</v>
      </c>
      <c r="T5" s="526"/>
      <c r="U5" s="526"/>
      <c r="V5" s="527"/>
      <c r="Y5" s="373" t="s">
        <v>79</v>
      </c>
      <c r="Z5" s="374"/>
      <c r="AA5" s="374"/>
      <c r="AB5" s="374"/>
      <c r="AC5" s="374"/>
      <c r="AD5" s="374"/>
      <c r="AE5" s="372"/>
      <c r="AG5" s="370" t="s">
        <v>78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5.75" thickBot="1">
      <c r="C6" s="88"/>
      <c r="D6" s="227"/>
      <c r="E6" s="86" t="s">
        <v>57</v>
      </c>
      <c r="F6" s="41" t="s">
        <v>1</v>
      </c>
      <c r="G6" s="502">
        <v>1.2</v>
      </c>
      <c r="H6" s="503"/>
      <c r="I6" s="504"/>
      <c r="J6" s="528" t="s">
        <v>2</v>
      </c>
      <c r="K6" s="529"/>
      <c r="L6" s="529"/>
      <c r="M6" s="530" t="str">
        <f>K3</f>
        <v>14.12.2018</v>
      </c>
      <c r="N6" s="530"/>
      <c r="O6" s="530"/>
      <c r="P6" s="531"/>
      <c r="Q6" s="384" t="s">
        <v>3</v>
      </c>
      <c r="R6" s="385"/>
      <c r="S6" s="532" t="s">
        <v>86</v>
      </c>
      <c r="T6" s="533"/>
      <c r="U6" s="533"/>
      <c r="V6" s="534"/>
      <c r="AU6" t="s">
        <v>20</v>
      </c>
    </row>
    <row r="7" spans="3:73" ht="15" thickBot="1">
      <c r="C7" s="43"/>
      <c r="D7" s="239" t="s">
        <v>67</v>
      </c>
      <c r="E7" s="317" t="s">
        <v>4</v>
      </c>
      <c r="F7" s="176" t="s">
        <v>5</v>
      </c>
      <c r="G7" s="520" t="s">
        <v>6</v>
      </c>
      <c r="H7" s="521"/>
      <c r="I7" s="522" t="s">
        <v>7</v>
      </c>
      <c r="J7" s="521"/>
      <c r="K7" s="522" t="s">
        <v>8</v>
      </c>
      <c r="L7" s="521"/>
      <c r="M7" s="522" t="s">
        <v>9</v>
      </c>
      <c r="N7" s="521"/>
      <c r="O7" s="518"/>
      <c r="P7" s="519"/>
      <c r="Q7" s="44" t="s">
        <v>10</v>
      </c>
      <c r="R7" s="45" t="s">
        <v>11</v>
      </c>
      <c r="S7" s="447" t="s">
        <v>69</v>
      </c>
      <c r="T7" s="442"/>
      <c r="U7" s="481" t="s">
        <v>12</v>
      </c>
      <c r="V7" s="455"/>
      <c r="Y7" s="330" t="s">
        <v>74</v>
      </c>
      <c r="Z7" s="300"/>
      <c r="AA7" s="300"/>
      <c r="AB7" s="324"/>
      <c r="AC7" s="337" t="s">
        <v>73</v>
      </c>
      <c r="AG7" s="197" t="s">
        <v>64</v>
      </c>
      <c r="AI7" s="330" t="s">
        <v>74</v>
      </c>
      <c r="AJ7" s="300"/>
      <c r="AK7" s="300"/>
      <c r="AL7" s="324"/>
      <c r="AM7" s="337" t="s">
        <v>73</v>
      </c>
      <c r="AU7" s="537" t="s">
        <v>6</v>
      </c>
      <c r="AV7" s="536"/>
      <c r="AW7" s="538" t="s">
        <v>7</v>
      </c>
      <c r="AX7" s="539"/>
      <c r="AY7" s="535" t="s">
        <v>8</v>
      </c>
      <c r="AZ7" s="536"/>
      <c r="BA7" s="407" t="s">
        <v>9</v>
      </c>
      <c r="BB7" s="408"/>
      <c r="BC7" s="267" t="s">
        <v>65</v>
      </c>
      <c r="BD7" s="268"/>
      <c r="BE7" s="277" t="s">
        <v>71</v>
      </c>
      <c r="BK7" s="343" t="s">
        <v>72</v>
      </c>
      <c r="BL7" s="344"/>
      <c r="BM7" s="344"/>
      <c r="BN7" s="345"/>
      <c r="BO7" s="345"/>
      <c r="BP7" s="345"/>
      <c r="BQ7" s="345"/>
      <c r="BR7" s="345"/>
      <c r="BS7" s="346" t="s">
        <v>76</v>
      </c>
      <c r="BT7" s="347"/>
      <c r="BU7" s="352" t="s">
        <v>71</v>
      </c>
    </row>
    <row r="8" spans="2:73" ht="15">
      <c r="B8" s="33">
        <f>U8</f>
        <v>1</v>
      </c>
      <c r="C8" s="235" t="s">
        <v>6</v>
      </c>
      <c r="D8" s="240">
        <v>2423</v>
      </c>
      <c r="E8" s="79" t="s">
        <v>93</v>
      </c>
      <c r="F8" s="192" t="s">
        <v>88</v>
      </c>
      <c r="G8" s="68"/>
      <c r="H8" s="91"/>
      <c r="I8" s="94">
        <f>+S18</f>
        <v>3</v>
      </c>
      <c r="J8" s="92">
        <f>+T18</f>
        <v>0</v>
      </c>
      <c r="K8" s="94">
        <f>S14</f>
        <v>3</v>
      </c>
      <c r="L8" s="92">
        <f>T14</f>
        <v>2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410">
        <f>+AC8</f>
        <v>6</v>
      </c>
      <c r="T8" s="411"/>
      <c r="U8" s="482">
        <v>1</v>
      </c>
      <c r="V8" s="483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2</v>
      </c>
      <c r="AC8" s="332">
        <f>SUM(Y8:AB8)</f>
        <v>6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">
      <c r="B9" s="33">
        <f>U9</f>
        <v>3</v>
      </c>
      <c r="C9" s="236" t="s">
        <v>7</v>
      </c>
      <c r="D9" s="240">
        <v>2313</v>
      </c>
      <c r="E9" s="79" t="s">
        <v>101</v>
      </c>
      <c r="F9" s="193" t="s">
        <v>88</v>
      </c>
      <c r="G9" s="71">
        <f>+T18</f>
        <v>0</v>
      </c>
      <c r="H9" s="92">
        <f>+S18</f>
        <v>3</v>
      </c>
      <c r="I9" s="95"/>
      <c r="J9" s="91"/>
      <c r="K9" s="94">
        <f>S17</f>
        <v>1</v>
      </c>
      <c r="L9" s="92">
        <f>T17</f>
        <v>3</v>
      </c>
      <c r="M9" s="94">
        <f>S15</f>
        <v>3</v>
      </c>
      <c r="N9" s="92">
        <f>T15</f>
        <v>1</v>
      </c>
      <c r="O9" s="70"/>
      <c r="P9" s="63"/>
      <c r="Q9" s="198">
        <f>IF(SUM(G9:P9)=0,0,COUNTIF(J8:J11,"3"))</f>
        <v>1</v>
      </c>
      <c r="R9" s="199">
        <f>IF(SUM(H9:Q9)=0,0,COUNTIF(I8:I11,"3"))</f>
        <v>2</v>
      </c>
      <c r="S9" s="410">
        <f>+AC9</f>
        <v>4</v>
      </c>
      <c r="T9" s="411"/>
      <c r="U9" s="482">
        <v>3</v>
      </c>
      <c r="V9" s="483"/>
      <c r="Y9" s="250">
        <f>IF($T18=3,2,IF($W18=1,0,1))</f>
        <v>1</v>
      </c>
      <c r="Z9" s="331"/>
      <c r="AA9" s="250">
        <f>IF($S17=3,2,IF($W17=1,0,1))</f>
        <v>1</v>
      </c>
      <c r="AB9" s="250">
        <f>IF($S15=3,2,IF($W15=1,0,1))</f>
        <v>2</v>
      </c>
      <c r="AC9" s="332">
        <f>SUM(Y9:AB9)</f>
        <v>4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">
      <c r="B10" s="33">
        <f>U10</f>
        <v>2</v>
      </c>
      <c r="C10" s="236" t="s">
        <v>8</v>
      </c>
      <c r="D10" s="240">
        <v>2302</v>
      </c>
      <c r="E10" s="79" t="s">
        <v>95</v>
      </c>
      <c r="F10" s="193" t="s">
        <v>105</v>
      </c>
      <c r="G10" s="71">
        <f>+T14</f>
        <v>2</v>
      </c>
      <c r="H10" s="92">
        <f>+S14</f>
        <v>3</v>
      </c>
      <c r="I10" s="94">
        <f>T17</f>
        <v>3</v>
      </c>
      <c r="J10" s="92">
        <f>S17</f>
        <v>1</v>
      </c>
      <c r="K10" s="95"/>
      <c r="L10" s="91"/>
      <c r="M10" s="94">
        <f>S19</f>
        <v>2</v>
      </c>
      <c r="N10" s="92">
        <f>T19</f>
        <v>3</v>
      </c>
      <c r="O10" s="70"/>
      <c r="P10" s="63"/>
      <c r="Q10" s="198">
        <f>IF(SUM(G10:P10)=0,0,COUNTIF(L8:L11,"3"))</f>
        <v>1</v>
      </c>
      <c r="R10" s="199">
        <f>IF(SUM(H10:Q10)=0,0,COUNTIF(K8:K11,"3"))</f>
        <v>2</v>
      </c>
      <c r="S10" s="410">
        <f>+AC10</f>
        <v>4</v>
      </c>
      <c r="T10" s="411"/>
      <c r="U10" s="482">
        <v>2</v>
      </c>
      <c r="V10" s="483"/>
      <c r="Y10" s="250">
        <f>IF($T14=3,2,IF($W14=1,0,1))</f>
        <v>1</v>
      </c>
      <c r="Z10" s="250">
        <f>IF($T17=3,2,IF($W17=1,0,1))</f>
        <v>2</v>
      </c>
      <c r="AA10" s="331"/>
      <c r="AB10" s="250">
        <f>IF($S19=3,2,IF($W19=1,0,1))</f>
        <v>1</v>
      </c>
      <c r="AC10" s="332">
        <f>SUM(Y10:AB10)</f>
        <v>4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5.75" thickBot="1">
      <c r="B11" s="33">
        <f>U11</f>
        <v>4</v>
      </c>
      <c r="C11" s="237" t="s">
        <v>9</v>
      </c>
      <c r="D11" s="241">
        <v>2109</v>
      </c>
      <c r="E11" s="80" t="s">
        <v>99</v>
      </c>
      <c r="F11" s="194" t="s">
        <v>97</v>
      </c>
      <c r="G11" s="72">
        <f>T16</f>
        <v>0</v>
      </c>
      <c r="H11" s="93">
        <f>S16</f>
        <v>3</v>
      </c>
      <c r="I11" s="96">
        <f>T15</f>
        <v>1</v>
      </c>
      <c r="J11" s="93">
        <f>S15</f>
        <v>3</v>
      </c>
      <c r="K11" s="96">
        <f>T19</f>
        <v>3</v>
      </c>
      <c r="L11" s="93">
        <f>S19</f>
        <v>2</v>
      </c>
      <c r="M11" s="97"/>
      <c r="N11" s="98"/>
      <c r="O11" s="73"/>
      <c r="P11" s="74"/>
      <c r="Q11" s="200">
        <f>IF(SUM(G11:P11)=0,0,COUNTIF(N8:N11,"3"))</f>
        <v>1</v>
      </c>
      <c r="R11" s="201">
        <f>IF(SUM(H11:Q11)=0,0,COUNTIF(M8:M11,"3"))</f>
        <v>2</v>
      </c>
      <c r="S11" s="410">
        <f>+AC11</f>
        <v>4</v>
      </c>
      <c r="T11" s="411"/>
      <c r="U11" s="488">
        <v>4</v>
      </c>
      <c r="V11" s="489"/>
      <c r="Y11" s="250">
        <f>IF($T16=3,2,IF($W16=1,0,1))</f>
        <v>1</v>
      </c>
      <c r="Z11" s="250">
        <f>IF($T15=3,2,IF($W15=1,0,1))</f>
        <v>1</v>
      </c>
      <c r="AA11" s="250">
        <f>IF($T19=3,2,IF($W19=1,0,1))</f>
        <v>2</v>
      </c>
      <c r="AB11" s="331"/>
      <c r="AC11" s="332">
        <f>SUM(Y11:AB11)</f>
        <v>4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" thickBot="1">
      <c r="C13" s="52"/>
      <c r="D13" s="228"/>
      <c r="E13" s="66" t="s">
        <v>14</v>
      </c>
      <c r="F13" s="1"/>
      <c r="G13" s="1"/>
      <c r="H13" s="2"/>
      <c r="I13" s="484" t="s">
        <v>15</v>
      </c>
      <c r="J13" s="485"/>
      <c r="K13" s="486" t="s">
        <v>16</v>
      </c>
      <c r="L13" s="485"/>
      <c r="M13" s="486" t="s">
        <v>17</v>
      </c>
      <c r="N13" s="485"/>
      <c r="O13" s="486" t="s">
        <v>18</v>
      </c>
      <c r="P13" s="485"/>
      <c r="Q13" s="486" t="s">
        <v>19</v>
      </c>
      <c r="R13" s="485"/>
      <c r="S13" s="443" t="s">
        <v>20</v>
      </c>
      <c r="T13" s="430"/>
      <c r="U13" s="259" t="s">
        <v>13</v>
      </c>
      <c r="V13" s="260">
        <v>1</v>
      </c>
      <c r="W13" s="377" t="s">
        <v>70</v>
      </c>
      <c r="X13" s="250" t="s">
        <v>80</v>
      </c>
      <c r="Y13" s="250" t="s">
        <v>81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Toni Soine</v>
      </c>
      <c r="F14" s="75" t="str">
        <f>IF(E10&gt;0,E10,0)</f>
        <v>Riku Autio</v>
      </c>
      <c r="G14" s="50"/>
      <c r="H14" s="64"/>
      <c r="I14" s="517">
        <v>10</v>
      </c>
      <c r="J14" s="516"/>
      <c r="K14" s="517">
        <v>5</v>
      </c>
      <c r="L14" s="516"/>
      <c r="M14" s="517">
        <v>-10</v>
      </c>
      <c r="N14" s="516"/>
      <c r="O14" s="517">
        <v>-10</v>
      </c>
      <c r="P14" s="516"/>
      <c r="Q14" s="515">
        <v>9</v>
      </c>
      <c r="R14" s="516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2</v>
      </c>
      <c r="U14" s="54">
        <f aca="true" t="shared" si="2" ref="U14:V19">+AI14+AK14+AM14+AO14+AQ14</f>
        <v>54</v>
      </c>
      <c r="V14" s="5">
        <f t="shared" si="2"/>
        <v>48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12</v>
      </c>
      <c r="AJ14" s="7">
        <f aca="true" t="shared" si="4" ref="AJ14:AJ19">IF(I14="",0,IF(LEFT(I14,1)="-",(IF(ABS(I14)&gt;9,(ABS(I14)+2),11)),I14))</f>
        <v>10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5</v>
      </c>
      <c r="AM14" s="6">
        <f aca="true" t="shared" si="7" ref="AM14:AM19">IF(M14="",0,IF(LEFT(M14,1)="-",ABS(M14),(IF(M14&gt;9,M14+2,11))))</f>
        <v>10</v>
      </c>
      <c r="AN14" s="7">
        <f aca="true" t="shared" si="8" ref="AN14:AN19">IF(M14="",0,IF(LEFT(M14,1)="-",(IF(ABS(M14)&gt;9,(ABS(M14)+2),11)),M14))</f>
        <v>12</v>
      </c>
      <c r="AO14" s="6">
        <f aca="true" t="shared" si="9" ref="AO14:AO19">IF(O14="",0,IF(LEFT(O14,1)="-",ABS(O14),(IF(O14&gt;9,O14+2,11))))</f>
        <v>10</v>
      </c>
      <c r="AP14" s="7">
        <f aca="true" t="shared" si="10" ref="AP14:AP19">IF(O14="",0,IF(LEFT(O14,1)="-",(IF(ABS(O14)&gt;9,(ABS(O14)+2),11)),O14))</f>
        <v>12</v>
      </c>
      <c r="AQ14" s="6">
        <f aca="true" t="shared" si="11" ref="AQ14:AQ19">IF(Q14="",0,IF(LEFT(Q14,1)="-",ABS(Q14),(IF(Q14&gt;9,Q14+2,11))))</f>
        <v>11</v>
      </c>
      <c r="AR14" s="7">
        <f>IF(Q14="",0,IF(LEFT(Q14,1)="-",(IF(ABS(Q14)&gt;9,(ABS(Q14)+2),11)),Q14))</f>
        <v>9</v>
      </c>
    </row>
    <row r="15" spans="3:44" ht="15">
      <c r="C15" s="53" t="s">
        <v>22</v>
      </c>
      <c r="D15" s="229"/>
      <c r="E15" s="82" t="str">
        <f>IF(E9&gt;0,E9,0)</f>
        <v>Matias Ojala</v>
      </c>
      <c r="F15" s="76" t="str">
        <f>IF(E11&gt;0,E11,0)</f>
        <v>Jorma Lahtinen</v>
      </c>
      <c r="G15" s="8"/>
      <c r="H15" s="4"/>
      <c r="I15" s="473">
        <v>-11</v>
      </c>
      <c r="J15" s="474"/>
      <c r="K15" s="475">
        <v>9</v>
      </c>
      <c r="L15" s="474"/>
      <c r="M15" s="473">
        <v>3</v>
      </c>
      <c r="N15" s="474"/>
      <c r="O15" s="473">
        <v>11</v>
      </c>
      <c r="P15" s="474"/>
      <c r="Q15" s="473"/>
      <c r="R15" s="474"/>
      <c r="S15" s="204">
        <f t="shared" si="0"/>
        <v>3</v>
      </c>
      <c r="T15" s="205">
        <f t="shared" si="1"/>
        <v>1</v>
      </c>
      <c r="U15" s="54">
        <f t="shared" si="2"/>
        <v>46</v>
      </c>
      <c r="V15" s="5">
        <f t="shared" si="2"/>
        <v>36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11</v>
      </c>
      <c r="AJ15" s="10">
        <f t="shared" si="4"/>
        <v>13</v>
      </c>
      <c r="AK15" s="9">
        <f t="shared" si="5"/>
        <v>11</v>
      </c>
      <c r="AL15" s="10">
        <f t="shared" si="6"/>
        <v>9</v>
      </c>
      <c r="AM15" s="9">
        <f t="shared" si="7"/>
        <v>11</v>
      </c>
      <c r="AN15" s="10">
        <f t="shared" si="8"/>
        <v>3</v>
      </c>
      <c r="AO15" s="9">
        <f t="shared" si="9"/>
        <v>13</v>
      </c>
      <c r="AP15" s="10">
        <f t="shared" si="10"/>
        <v>11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Toni Soine</v>
      </c>
      <c r="F16" s="77" t="str">
        <f>IF(E11&gt;0,E11,0)</f>
        <v>Jorma Lahtinen</v>
      </c>
      <c r="G16" s="8"/>
      <c r="H16" s="65"/>
      <c r="I16" s="473">
        <v>3</v>
      </c>
      <c r="J16" s="474"/>
      <c r="K16" s="473">
        <v>2</v>
      </c>
      <c r="L16" s="474"/>
      <c r="M16" s="473">
        <v>3</v>
      </c>
      <c r="N16" s="474"/>
      <c r="O16" s="473"/>
      <c r="P16" s="474"/>
      <c r="Q16" s="473"/>
      <c r="R16" s="474"/>
      <c r="S16" s="204">
        <f t="shared" si="0"/>
        <v>3</v>
      </c>
      <c r="T16" s="205">
        <f t="shared" si="1"/>
        <v>0</v>
      </c>
      <c r="U16" s="54">
        <f t="shared" si="2"/>
        <v>33</v>
      </c>
      <c r="V16" s="5">
        <f t="shared" si="2"/>
        <v>8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3</v>
      </c>
      <c r="AK16" s="9">
        <f t="shared" si="5"/>
        <v>11</v>
      </c>
      <c r="AL16" s="10">
        <f t="shared" si="6"/>
        <v>2</v>
      </c>
      <c r="AM16" s="9">
        <f t="shared" si="7"/>
        <v>11</v>
      </c>
      <c r="AN16" s="10">
        <f t="shared" si="8"/>
        <v>3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Matias Ojala</v>
      </c>
      <c r="F17" s="77" t="str">
        <f>IF(E10&gt;0,E10,0)</f>
        <v>Riku Autio</v>
      </c>
      <c r="G17" s="8"/>
      <c r="H17" s="65"/>
      <c r="I17" s="473">
        <v>-3</v>
      </c>
      <c r="J17" s="474"/>
      <c r="K17" s="473">
        <v>-10</v>
      </c>
      <c r="L17" s="474"/>
      <c r="M17" s="473">
        <v>8</v>
      </c>
      <c r="N17" s="474"/>
      <c r="O17" s="473">
        <v>-9</v>
      </c>
      <c r="P17" s="474"/>
      <c r="Q17" s="473"/>
      <c r="R17" s="474"/>
      <c r="S17" s="204">
        <f t="shared" si="0"/>
        <v>1</v>
      </c>
      <c r="T17" s="205">
        <f t="shared" si="1"/>
        <v>3</v>
      </c>
      <c r="U17" s="54">
        <f t="shared" si="2"/>
        <v>33</v>
      </c>
      <c r="V17" s="5">
        <f t="shared" si="2"/>
        <v>42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3</v>
      </c>
      <c r="AJ17" s="10">
        <f t="shared" si="4"/>
        <v>11</v>
      </c>
      <c r="AK17" s="9">
        <f t="shared" si="5"/>
        <v>10</v>
      </c>
      <c r="AL17" s="10">
        <f t="shared" si="6"/>
        <v>12</v>
      </c>
      <c r="AM17" s="9">
        <f t="shared" si="7"/>
        <v>11</v>
      </c>
      <c r="AN17" s="10">
        <f t="shared" si="8"/>
        <v>8</v>
      </c>
      <c r="AO17" s="9">
        <f t="shared" si="9"/>
        <v>9</v>
      </c>
      <c r="AP17" s="10">
        <f t="shared" si="10"/>
        <v>11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Toni Soine</v>
      </c>
      <c r="F18" s="76" t="str">
        <f>IF(E9&gt;0,E9,0)</f>
        <v>Matias Ojala</v>
      </c>
      <c r="G18" s="8"/>
      <c r="H18" s="4"/>
      <c r="I18" s="475">
        <v>8</v>
      </c>
      <c r="J18" s="513"/>
      <c r="K18" s="473">
        <v>3</v>
      </c>
      <c r="L18" s="514"/>
      <c r="M18" s="475">
        <v>13</v>
      </c>
      <c r="N18" s="513"/>
      <c r="O18" s="473"/>
      <c r="P18" s="514"/>
      <c r="Q18" s="473"/>
      <c r="R18" s="474"/>
      <c r="S18" s="204">
        <f t="shared" si="0"/>
        <v>3</v>
      </c>
      <c r="T18" s="205">
        <f t="shared" si="1"/>
        <v>0</v>
      </c>
      <c r="U18" s="54">
        <f t="shared" si="2"/>
        <v>37</v>
      </c>
      <c r="V18" s="5">
        <f t="shared" si="2"/>
        <v>24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11</v>
      </c>
      <c r="AJ18" s="10">
        <f t="shared" si="4"/>
        <v>8</v>
      </c>
      <c r="AK18" s="9">
        <f t="shared" si="5"/>
        <v>11</v>
      </c>
      <c r="AL18" s="10">
        <f t="shared" si="6"/>
        <v>3</v>
      </c>
      <c r="AM18" s="9">
        <f t="shared" si="7"/>
        <v>15</v>
      </c>
      <c r="AN18" s="10">
        <f t="shared" si="8"/>
        <v>13</v>
      </c>
      <c r="AO18" s="9">
        <f t="shared" si="9"/>
        <v>0</v>
      </c>
      <c r="AP18" s="10">
        <f t="shared" si="10"/>
        <v>0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" thickBot="1">
      <c r="C19" s="56" t="s">
        <v>26</v>
      </c>
      <c r="D19" s="230"/>
      <c r="E19" s="84" t="str">
        <f>IF(E10&gt;0,E10,0)</f>
        <v>Riku Autio</v>
      </c>
      <c r="F19" s="78" t="str">
        <f>IF(E11&gt;0,E11,0)</f>
        <v>Jorma Lahtinen</v>
      </c>
      <c r="G19" s="1"/>
      <c r="H19" s="28"/>
      <c r="I19" s="471">
        <v>-9</v>
      </c>
      <c r="J19" s="512"/>
      <c r="K19" s="471">
        <v>7</v>
      </c>
      <c r="L19" s="512"/>
      <c r="M19" s="471">
        <v>-8</v>
      </c>
      <c r="N19" s="512"/>
      <c r="O19" s="471">
        <v>5</v>
      </c>
      <c r="P19" s="512"/>
      <c r="Q19" s="471">
        <v>-10</v>
      </c>
      <c r="R19" s="476"/>
      <c r="S19" s="206">
        <f t="shared" si="0"/>
        <v>2</v>
      </c>
      <c r="T19" s="207">
        <f t="shared" si="1"/>
        <v>3</v>
      </c>
      <c r="U19" s="386">
        <f t="shared" si="2"/>
        <v>49</v>
      </c>
      <c r="V19" s="387">
        <f t="shared" si="2"/>
        <v>46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9</v>
      </c>
      <c r="AJ19" s="12">
        <f t="shared" si="4"/>
        <v>11</v>
      </c>
      <c r="AK19" s="11">
        <f t="shared" si="5"/>
        <v>11</v>
      </c>
      <c r="AL19" s="12">
        <f t="shared" si="6"/>
        <v>7</v>
      </c>
      <c r="AM19" s="11">
        <f t="shared" si="7"/>
        <v>8</v>
      </c>
      <c r="AN19" s="12">
        <f t="shared" si="8"/>
        <v>11</v>
      </c>
      <c r="AO19" s="11">
        <f t="shared" si="9"/>
        <v>11</v>
      </c>
      <c r="AP19" s="12">
        <f t="shared" si="10"/>
        <v>5</v>
      </c>
      <c r="AQ19" s="11">
        <f t="shared" si="11"/>
        <v>10</v>
      </c>
      <c r="AR19" s="12">
        <f>IF(Q19=0,0,IF(LEFT(Q19,1)="-",(IF(ABS(Q19)&gt;9,(ABS(Q19)+2),11)),Q19))</f>
        <v>12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96"/>
      <c r="N22" s="497"/>
      <c r="O22" s="497"/>
      <c r="P22" s="498"/>
      <c r="Q22" s="39" t="s">
        <v>0</v>
      </c>
      <c r="R22" s="40"/>
      <c r="S22" s="499" t="s">
        <v>40</v>
      </c>
      <c r="T22" s="500"/>
      <c r="U22" s="500"/>
      <c r="V22" s="501"/>
      <c r="X22" s="362"/>
      <c r="Y22" s="362"/>
      <c r="Z22" s="362"/>
      <c r="AA22" s="362"/>
      <c r="AB22" s="362"/>
      <c r="AC22" s="362"/>
      <c r="AD22" s="362"/>
      <c r="AE22" s="327"/>
    </row>
    <row r="23" spans="3:47" ht="15.75" thickBot="1">
      <c r="C23" s="88"/>
      <c r="D23" s="231"/>
      <c r="E23" s="196" t="str">
        <f>$E$6</f>
        <v>SPTL</v>
      </c>
      <c r="F23" s="100" t="s">
        <v>1</v>
      </c>
      <c r="G23" s="448">
        <v>5.6</v>
      </c>
      <c r="H23" s="469"/>
      <c r="I23" s="470"/>
      <c r="J23" s="510" t="s">
        <v>2</v>
      </c>
      <c r="K23" s="506"/>
      <c r="L23" s="506"/>
      <c r="M23" s="452" t="str">
        <f>$M$6</f>
        <v>14.12.2018</v>
      </c>
      <c r="N23" s="452"/>
      <c r="O23" s="452"/>
      <c r="P23" s="453"/>
      <c r="Q23" s="101" t="s">
        <v>3</v>
      </c>
      <c r="R23" s="102"/>
      <c r="S23" s="438" t="str">
        <f>$S$6</f>
        <v>11:00</v>
      </c>
      <c r="T23" s="439"/>
      <c r="U23" s="439"/>
      <c r="V23" s="511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" thickBot="1">
      <c r="C24" s="43"/>
      <c r="D24" s="239" t="s">
        <v>67</v>
      </c>
      <c r="E24" s="317" t="s">
        <v>4</v>
      </c>
      <c r="F24" s="176" t="s">
        <v>5</v>
      </c>
      <c r="G24" s="447" t="s">
        <v>6</v>
      </c>
      <c r="H24" s="492"/>
      <c r="I24" s="493" t="s">
        <v>7</v>
      </c>
      <c r="J24" s="494"/>
      <c r="K24" s="495" t="s">
        <v>8</v>
      </c>
      <c r="L24" s="492"/>
      <c r="M24" s="493" t="s">
        <v>9</v>
      </c>
      <c r="N24" s="494"/>
      <c r="O24" s="462"/>
      <c r="P24" s="455"/>
      <c r="Q24" s="44" t="s">
        <v>10</v>
      </c>
      <c r="R24" s="45" t="s">
        <v>11</v>
      </c>
      <c r="S24" s="447" t="s">
        <v>69</v>
      </c>
      <c r="T24" s="442"/>
      <c r="U24" s="481" t="s">
        <v>12</v>
      </c>
      <c r="V24" s="455"/>
      <c r="Y24" s="330" t="s">
        <v>74</v>
      </c>
      <c r="Z24" s="300"/>
      <c r="AA24" s="300"/>
      <c r="AB24" s="324"/>
      <c r="AC24" s="337" t="s">
        <v>73</v>
      </c>
      <c r="AD24" s="362"/>
      <c r="AE24" s="327"/>
      <c r="AG24" s="197" t="s">
        <v>64</v>
      </c>
      <c r="AI24" s="330" t="s">
        <v>74</v>
      </c>
      <c r="AJ24" s="300"/>
      <c r="AK24" s="300"/>
      <c r="AL24" s="324"/>
      <c r="AM24" s="337" t="s">
        <v>73</v>
      </c>
      <c r="AU24" s="537" t="s">
        <v>6</v>
      </c>
      <c r="AV24" s="536"/>
      <c r="AW24" s="538" t="s">
        <v>7</v>
      </c>
      <c r="AX24" s="539"/>
      <c r="AY24" s="535" t="s">
        <v>8</v>
      </c>
      <c r="AZ24" s="536"/>
      <c r="BA24" s="407" t="s">
        <v>9</v>
      </c>
      <c r="BB24" s="408"/>
      <c r="BC24" s="267" t="s">
        <v>65</v>
      </c>
      <c r="BD24" s="268"/>
      <c r="BE24" s="277" t="s">
        <v>71</v>
      </c>
      <c r="BK24" s="343" t="s">
        <v>72</v>
      </c>
      <c r="BL24" s="344"/>
      <c r="BM24" s="344"/>
      <c r="BN24" s="345"/>
      <c r="BO24" s="345"/>
      <c r="BP24" s="345"/>
      <c r="BQ24" s="345"/>
      <c r="BR24" s="345"/>
      <c r="BS24" s="346" t="s">
        <v>76</v>
      </c>
      <c r="BT24" s="347"/>
      <c r="BU24" s="352" t="s">
        <v>71</v>
      </c>
    </row>
    <row r="25" spans="2:73" ht="15">
      <c r="B25" s="33">
        <f>U25</f>
        <v>1</v>
      </c>
      <c r="C25" s="46" t="s">
        <v>6</v>
      </c>
      <c r="D25" s="240">
        <v>2398</v>
      </c>
      <c r="E25" s="79" t="s">
        <v>107</v>
      </c>
      <c r="F25" s="192" t="s">
        <v>96</v>
      </c>
      <c r="G25" s="128"/>
      <c r="H25" s="118"/>
      <c r="I25" s="131">
        <f>+S35</f>
        <v>3</v>
      </c>
      <c r="J25" s="119">
        <f>+T35</f>
        <v>0</v>
      </c>
      <c r="K25" s="135">
        <f>S31</f>
        <v>3</v>
      </c>
      <c r="L25" s="77">
        <f>T31</f>
        <v>0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410">
        <f>+AC25</f>
        <v>6</v>
      </c>
      <c r="T25" s="411"/>
      <c r="U25" s="482">
        <v>1</v>
      </c>
      <c r="V25" s="483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">
      <c r="B26" s="33">
        <f>U26</f>
        <v>3</v>
      </c>
      <c r="C26" s="47" t="s">
        <v>7</v>
      </c>
      <c r="D26" s="240">
        <v>2350</v>
      </c>
      <c r="E26" s="79" t="s">
        <v>102</v>
      </c>
      <c r="F26" s="192" t="s">
        <v>103</v>
      </c>
      <c r="G26" s="129">
        <f>+T35</f>
        <v>0</v>
      </c>
      <c r="H26" s="76">
        <f>+S35</f>
        <v>3</v>
      </c>
      <c r="I26" s="132"/>
      <c r="J26" s="121"/>
      <c r="K26" s="136">
        <f>S34</f>
        <v>1</v>
      </c>
      <c r="L26" s="76">
        <f>T34</f>
        <v>3</v>
      </c>
      <c r="M26" s="133">
        <f>S32</f>
        <v>3</v>
      </c>
      <c r="N26" s="122">
        <f>T32</f>
        <v>0</v>
      </c>
      <c r="O26" s="76"/>
      <c r="P26" s="123"/>
      <c r="Q26" s="198">
        <f>IF(SUM(G26:P26)=0,0,COUNTIF(J25:J28,"3"))</f>
        <v>1</v>
      </c>
      <c r="R26" s="199">
        <f>IF(SUM(H26:Q26)=0,0,COUNTIF(I25:I28,"3"))</f>
        <v>2</v>
      </c>
      <c r="S26" s="410">
        <f>+AC26</f>
        <v>4</v>
      </c>
      <c r="T26" s="411"/>
      <c r="U26" s="482">
        <v>3</v>
      </c>
      <c r="V26" s="483"/>
      <c r="Y26" s="250">
        <f>IF($T35=3,2,IF($W35=1,0,1))</f>
        <v>1</v>
      </c>
      <c r="Z26" s="331"/>
      <c r="AA26" s="250">
        <f>IF($S34=3,2,IF($W34=1,0,1))</f>
        <v>1</v>
      </c>
      <c r="AB26" s="250">
        <f>IF($S32=3,2,IF($W32=1,0,1))</f>
        <v>2</v>
      </c>
      <c r="AC26" s="332">
        <f>SUM(Y26:AB26)</f>
        <v>4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">
      <c r="B27" s="33">
        <f>U27</f>
        <v>2</v>
      </c>
      <c r="C27" s="47" t="s">
        <v>8</v>
      </c>
      <c r="D27" s="240">
        <v>2301</v>
      </c>
      <c r="E27" s="79" t="s">
        <v>89</v>
      </c>
      <c r="F27" s="193" t="s">
        <v>88</v>
      </c>
      <c r="G27" s="129">
        <f>+T31</f>
        <v>0</v>
      </c>
      <c r="H27" s="76">
        <f>+S31</f>
        <v>3</v>
      </c>
      <c r="I27" s="133">
        <f>T34</f>
        <v>3</v>
      </c>
      <c r="J27" s="122">
        <f>S34</f>
        <v>1</v>
      </c>
      <c r="K27" s="137"/>
      <c r="L27" s="124"/>
      <c r="M27" s="133">
        <f>S36</f>
        <v>3</v>
      </c>
      <c r="N27" s="122">
        <f>T36</f>
        <v>0</v>
      </c>
      <c r="O27" s="76"/>
      <c r="P27" s="123"/>
      <c r="Q27" s="198">
        <f>IF(SUM(G27:P27)=0,0,COUNTIF(L25:L28,"3"))</f>
        <v>2</v>
      </c>
      <c r="R27" s="199">
        <f>IF(SUM(H27:Q27)=0,0,COUNTIF(K25:K28,"3"))</f>
        <v>1</v>
      </c>
      <c r="S27" s="410">
        <f>+AC27</f>
        <v>5</v>
      </c>
      <c r="T27" s="411"/>
      <c r="U27" s="482">
        <v>2</v>
      </c>
      <c r="V27" s="483"/>
      <c r="Y27" s="250">
        <f>IF($T31=3,2,IF($W31=1,0,1))</f>
        <v>1</v>
      </c>
      <c r="Z27" s="250">
        <f>IF($T34=3,2,IF($W34=1,0,1))</f>
        <v>2</v>
      </c>
      <c r="AA27" s="331"/>
      <c r="AB27" s="250">
        <f>IF($S36=3,2,IF($W36=1,0,1))</f>
        <v>2</v>
      </c>
      <c r="AC27" s="332">
        <f>SUM(Y27:AB27)</f>
        <v>5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5.75" thickBot="1">
      <c r="B28" s="33">
        <f>U28</f>
        <v>4</v>
      </c>
      <c r="C28" s="48" t="s">
        <v>9</v>
      </c>
      <c r="D28" s="241">
        <v>2110</v>
      </c>
      <c r="E28" s="80" t="s">
        <v>92</v>
      </c>
      <c r="F28" s="245" t="s">
        <v>91</v>
      </c>
      <c r="G28" s="130">
        <f>T33</f>
        <v>0</v>
      </c>
      <c r="H28" s="78">
        <f>S33</f>
        <v>3</v>
      </c>
      <c r="I28" s="134">
        <f>T32</f>
        <v>0</v>
      </c>
      <c r="J28" s="125">
        <f>S32</f>
        <v>3</v>
      </c>
      <c r="K28" s="138">
        <f>T36</f>
        <v>0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410">
        <f>+AC28</f>
        <v>3</v>
      </c>
      <c r="T28" s="411"/>
      <c r="U28" s="488">
        <v>4</v>
      </c>
      <c r="V28" s="489"/>
      <c r="Y28" s="250">
        <f>IF($T33=3,2,IF($W33=1,0,1))</f>
        <v>1</v>
      </c>
      <c r="Z28" s="250">
        <f>IF($T32=3,2,IF($W32=1,0,1))</f>
        <v>1</v>
      </c>
      <c r="AA28" s="250">
        <f>IF($T36=3,2,IF($W36=1,0,1))</f>
        <v>1</v>
      </c>
      <c r="AB28" s="331"/>
      <c r="AC28" s="332">
        <f>SUM(Y28:AB28)</f>
        <v>3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" thickBot="1">
      <c r="C30" s="52"/>
      <c r="D30" s="228"/>
      <c r="E30" s="66" t="s">
        <v>14</v>
      </c>
      <c r="F30" s="1"/>
      <c r="G30" s="1"/>
      <c r="H30" s="2"/>
      <c r="I30" s="484" t="s">
        <v>15</v>
      </c>
      <c r="J30" s="485"/>
      <c r="K30" s="486" t="s">
        <v>16</v>
      </c>
      <c r="L30" s="485"/>
      <c r="M30" s="486" t="s">
        <v>17</v>
      </c>
      <c r="N30" s="485"/>
      <c r="O30" s="486" t="s">
        <v>18</v>
      </c>
      <c r="P30" s="485"/>
      <c r="Q30" s="486" t="s">
        <v>19</v>
      </c>
      <c r="R30" s="485"/>
      <c r="S30" s="443" t="s">
        <v>20</v>
      </c>
      <c r="T30" s="430"/>
      <c r="U30" s="259" t="s">
        <v>13</v>
      </c>
      <c r="V30" s="260"/>
      <c r="W30" s="377" t="s">
        <v>70</v>
      </c>
      <c r="X30" s="250" t="s">
        <v>80</v>
      </c>
      <c r="Y30" s="250" t="s">
        <v>81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Alex Naumi</v>
      </c>
      <c r="F31" s="75" t="str">
        <f>IF(E27&gt;0,E27,0)</f>
        <v>Jani Jormanainen</v>
      </c>
      <c r="G31" s="3"/>
      <c r="H31" s="4"/>
      <c r="I31" s="478">
        <v>9</v>
      </c>
      <c r="J31" s="480"/>
      <c r="K31" s="478">
        <v>4</v>
      </c>
      <c r="L31" s="480"/>
      <c r="M31" s="478">
        <v>9</v>
      </c>
      <c r="N31" s="480"/>
      <c r="O31" s="478"/>
      <c r="P31" s="480"/>
      <c r="Q31" s="487"/>
      <c r="R31" s="479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33</v>
      </c>
      <c r="V31" s="258">
        <f t="shared" si="14"/>
        <v>22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9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4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9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Roope Kantola</v>
      </c>
      <c r="F32" s="76" t="str">
        <f>IF(E28&gt;0,E28,0)</f>
        <v>Jussi Mäkelä</v>
      </c>
      <c r="G32" s="8"/>
      <c r="H32" s="4"/>
      <c r="I32" s="473">
        <v>3</v>
      </c>
      <c r="J32" s="474"/>
      <c r="K32" s="473">
        <v>6</v>
      </c>
      <c r="L32" s="474"/>
      <c r="M32" s="473">
        <v>7</v>
      </c>
      <c r="N32" s="474"/>
      <c r="O32" s="473"/>
      <c r="P32" s="474"/>
      <c r="Q32" s="473"/>
      <c r="R32" s="477"/>
      <c r="S32" s="210">
        <f t="shared" si="12"/>
        <v>3</v>
      </c>
      <c r="T32" s="211">
        <f t="shared" si="13"/>
        <v>0</v>
      </c>
      <c r="U32" s="54">
        <f t="shared" si="14"/>
        <v>33</v>
      </c>
      <c r="V32" s="5">
        <f t="shared" si="14"/>
        <v>16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3</v>
      </c>
      <c r="AK32" s="9">
        <f t="shared" si="17"/>
        <v>11</v>
      </c>
      <c r="AL32" s="10">
        <f t="shared" si="18"/>
        <v>6</v>
      </c>
      <c r="AM32" s="9">
        <f t="shared" si="19"/>
        <v>11</v>
      </c>
      <c r="AN32" s="10">
        <f t="shared" si="20"/>
        <v>7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Alex Naumi</v>
      </c>
      <c r="F33" s="77" t="str">
        <f>IF(E28&gt;0,E28,0)</f>
        <v>Jussi Mäkelä</v>
      </c>
      <c r="G33" s="8"/>
      <c r="H33" s="65"/>
      <c r="I33" s="473">
        <v>4</v>
      </c>
      <c r="J33" s="474"/>
      <c r="K33" s="473">
        <v>6</v>
      </c>
      <c r="L33" s="474"/>
      <c r="M33" s="473">
        <v>4</v>
      </c>
      <c r="N33" s="474"/>
      <c r="O33" s="473"/>
      <c r="P33" s="474"/>
      <c r="Q33" s="473"/>
      <c r="R33" s="477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14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4</v>
      </c>
      <c r="AK33" s="9">
        <f t="shared" si="17"/>
        <v>11</v>
      </c>
      <c r="AL33" s="10">
        <f t="shared" si="18"/>
        <v>6</v>
      </c>
      <c r="AM33" s="9">
        <f t="shared" si="19"/>
        <v>11</v>
      </c>
      <c r="AN33" s="10">
        <f t="shared" si="20"/>
        <v>4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Roope Kantola</v>
      </c>
      <c r="F34" s="76" t="str">
        <f>IF(E27&gt;0,E27,0)</f>
        <v>Jani Jormanainen</v>
      </c>
      <c r="G34" s="3"/>
      <c r="H34" s="4"/>
      <c r="I34" s="478">
        <v>-13</v>
      </c>
      <c r="J34" s="480"/>
      <c r="K34" s="478">
        <v>9</v>
      </c>
      <c r="L34" s="480"/>
      <c r="M34" s="478">
        <v>-9</v>
      </c>
      <c r="N34" s="480"/>
      <c r="O34" s="478">
        <v>-8</v>
      </c>
      <c r="P34" s="480"/>
      <c r="Q34" s="478"/>
      <c r="R34" s="479"/>
      <c r="S34" s="210">
        <f t="shared" si="12"/>
        <v>1</v>
      </c>
      <c r="T34" s="211">
        <f t="shared" si="13"/>
        <v>3</v>
      </c>
      <c r="U34" s="54">
        <f t="shared" si="14"/>
        <v>41</v>
      </c>
      <c r="V34" s="5">
        <f t="shared" si="14"/>
        <v>46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13</v>
      </c>
      <c r="AJ34" s="10">
        <f t="shared" si="16"/>
        <v>15</v>
      </c>
      <c r="AK34" s="9">
        <f t="shared" si="17"/>
        <v>11</v>
      </c>
      <c r="AL34" s="10">
        <f t="shared" si="18"/>
        <v>9</v>
      </c>
      <c r="AM34" s="9">
        <f t="shared" si="19"/>
        <v>9</v>
      </c>
      <c r="AN34" s="10">
        <f t="shared" si="20"/>
        <v>11</v>
      </c>
      <c r="AO34" s="9">
        <f t="shared" si="21"/>
        <v>8</v>
      </c>
      <c r="AP34" s="10">
        <f t="shared" si="22"/>
        <v>11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Alex Naumi</v>
      </c>
      <c r="F35" s="76" t="str">
        <f>IF(E26&gt;0,E26,0)</f>
        <v>Roope Kantola</v>
      </c>
      <c r="G35" s="8"/>
      <c r="H35" s="4"/>
      <c r="I35" s="473">
        <v>4</v>
      </c>
      <c r="J35" s="474"/>
      <c r="K35" s="473">
        <v>4</v>
      </c>
      <c r="L35" s="474"/>
      <c r="M35" s="475">
        <v>4</v>
      </c>
      <c r="N35" s="474"/>
      <c r="O35" s="473"/>
      <c r="P35" s="474"/>
      <c r="Q35" s="473"/>
      <c r="R35" s="477"/>
      <c r="S35" s="210">
        <f t="shared" si="12"/>
        <v>3</v>
      </c>
      <c r="T35" s="211">
        <f t="shared" si="13"/>
        <v>0</v>
      </c>
      <c r="U35" s="54">
        <f t="shared" si="14"/>
        <v>33</v>
      </c>
      <c r="V35" s="5">
        <f t="shared" si="14"/>
        <v>12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11</v>
      </c>
      <c r="AJ35" s="10">
        <f t="shared" si="16"/>
        <v>4</v>
      </c>
      <c r="AK35" s="9">
        <f t="shared" si="17"/>
        <v>11</v>
      </c>
      <c r="AL35" s="10">
        <f t="shared" si="18"/>
        <v>4</v>
      </c>
      <c r="AM35" s="9">
        <f t="shared" si="19"/>
        <v>11</v>
      </c>
      <c r="AN35" s="10">
        <f t="shared" si="20"/>
        <v>4</v>
      </c>
      <c r="AO35" s="9">
        <f t="shared" si="21"/>
        <v>0</v>
      </c>
      <c r="AP35" s="10">
        <f t="shared" si="22"/>
        <v>0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" thickBot="1">
      <c r="C36" s="56" t="s">
        <v>26</v>
      </c>
      <c r="D36" s="230"/>
      <c r="E36" s="84" t="str">
        <f>IF(E27&gt;0,E27,0)</f>
        <v>Jani Jormanainen</v>
      </c>
      <c r="F36" s="78" t="str">
        <f>IF(E28&gt;0,E28,0)</f>
        <v>Jussi Mäkelä</v>
      </c>
      <c r="G36" s="1"/>
      <c r="H36" s="28"/>
      <c r="I36" s="471">
        <v>5</v>
      </c>
      <c r="J36" s="476"/>
      <c r="K36" s="471">
        <v>4</v>
      </c>
      <c r="L36" s="476"/>
      <c r="M36" s="471">
        <v>7</v>
      </c>
      <c r="N36" s="476"/>
      <c r="O36" s="471"/>
      <c r="P36" s="476"/>
      <c r="Q36" s="471"/>
      <c r="R36" s="472"/>
      <c r="S36" s="212">
        <f t="shared" si="12"/>
        <v>3</v>
      </c>
      <c r="T36" s="213">
        <f t="shared" si="13"/>
        <v>0</v>
      </c>
      <c r="U36" s="388">
        <f t="shared" si="14"/>
        <v>33</v>
      </c>
      <c r="V36" s="388">
        <f t="shared" si="14"/>
        <v>16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5</v>
      </c>
      <c r="AK36" s="11">
        <f t="shared" si="17"/>
        <v>11</v>
      </c>
      <c r="AL36" s="12">
        <f t="shared" si="18"/>
        <v>4</v>
      </c>
      <c r="AM36" s="11">
        <f t="shared" si="19"/>
        <v>11</v>
      </c>
      <c r="AN36" s="12">
        <f t="shared" si="20"/>
        <v>7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96"/>
      <c r="N39" s="497"/>
      <c r="O39" s="497"/>
      <c r="P39" s="498"/>
      <c r="Q39" s="39" t="s">
        <v>0</v>
      </c>
      <c r="R39" s="40"/>
      <c r="S39" s="499" t="s">
        <v>41</v>
      </c>
      <c r="T39" s="500"/>
      <c r="U39" s="500"/>
      <c r="V39" s="501"/>
      <c r="X39" s="362"/>
      <c r="Y39" s="362"/>
      <c r="Z39" s="362"/>
      <c r="AA39" s="362"/>
      <c r="AB39" s="362"/>
      <c r="AC39" s="362"/>
      <c r="AD39" s="362"/>
      <c r="AE39" s="327"/>
    </row>
    <row r="40" spans="3:47" ht="15.75" thickBot="1">
      <c r="C40" s="88"/>
      <c r="D40" s="231"/>
      <c r="E40" s="196" t="str">
        <f>$E$6</f>
        <v>SPTL</v>
      </c>
      <c r="F40" s="100" t="s">
        <v>1</v>
      </c>
      <c r="G40" s="502">
        <v>4.8</v>
      </c>
      <c r="H40" s="503"/>
      <c r="I40" s="504"/>
      <c r="J40" s="505" t="s">
        <v>2</v>
      </c>
      <c r="K40" s="506"/>
      <c r="L40" s="506"/>
      <c r="M40" s="452" t="str">
        <f>$M$6</f>
        <v>14.12.2018</v>
      </c>
      <c r="N40" s="452"/>
      <c r="O40" s="452"/>
      <c r="P40" s="453"/>
      <c r="Q40" s="101" t="s">
        <v>3</v>
      </c>
      <c r="R40" s="102"/>
      <c r="S40" s="507" t="str">
        <f>$S$6</f>
        <v>11:00</v>
      </c>
      <c r="T40" s="508"/>
      <c r="U40" s="508"/>
      <c r="V40" s="509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" thickBot="1">
      <c r="C41" s="43"/>
      <c r="D41" s="239" t="s">
        <v>67</v>
      </c>
      <c r="E41" s="317" t="s">
        <v>4</v>
      </c>
      <c r="F41" s="175" t="s">
        <v>5</v>
      </c>
      <c r="G41" s="447" t="s">
        <v>6</v>
      </c>
      <c r="H41" s="492"/>
      <c r="I41" s="493" t="s">
        <v>7</v>
      </c>
      <c r="J41" s="494"/>
      <c r="K41" s="495" t="s">
        <v>8</v>
      </c>
      <c r="L41" s="492"/>
      <c r="M41" s="493" t="s">
        <v>9</v>
      </c>
      <c r="N41" s="494"/>
      <c r="O41" s="462"/>
      <c r="P41" s="455"/>
      <c r="Q41" s="44" t="s">
        <v>10</v>
      </c>
      <c r="R41" s="45" t="s">
        <v>11</v>
      </c>
      <c r="S41" s="447" t="s">
        <v>69</v>
      </c>
      <c r="T41" s="442"/>
      <c r="U41" s="481" t="s">
        <v>12</v>
      </c>
      <c r="V41" s="455"/>
      <c r="Y41" s="330" t="s">
        <v>74</v>
      </c>
      <c r="Z41" s="300"/>
      <c r="AA41" s="300"/>
      <c r="AB41" s="324"/>
      <c r="AC41" s="337" t="s">
        <v>73</v>
      </c>
      <c r="AD41" s="362"/>
      <c r="AE41" s="327"/>
      <c r="AG41" s="197" t="s">
        <v>64</v>
      </c>
      <c r="AI41" s="330" t="s">
        <v>74</v>
      </c>
      <c r="AJ41" s="300"/>
      <c r="AK41" s="300"/>
      <c r="AL41" s="324"/>
      <c r="AM41" s="337" t="s">
        <v>73</v>
      </c>
      <c r="AU41" s="537" t="s">
        <v>6</v>
      </c>
      <c r="AV41" s="536"/>
      <c r="AW41" s="538" t="s">
        <v>7</v>
      </c>
      <c r="AX41" s="539"/>
      <c r="AY41" s="535" t="s">
        <v>8</v>
      </c>
      <c r="AZ41" s="536"/>
      <c r="BA41" s="407" t="s">
        <v>9</v>
      </c>
      <c r="BB41" s="408"/>
      <c r="BC41" s="267" t="s">
        <v>65</v>
      </c>
      <c r="BD41" s="268"/>
      <c r="BE41" s="277" t="s">
        <v>71</v>
      </c>
      <c r="BK41" s="343" t="s">
        <v>72</v>
      </c>
      <c r="BL41" s="344"/>
      <c r="BM41" s="344"/>
      <c r="BN41" s="345"/>
      <c r="BO41" s="345"/>
      <c r="BP41" s="345"/>
      <c r="BQ41" s="345"/>
      <c r="BR41" s="345"/>
      <c r="BS41" s="346" t="s">
        <v>76</v>
      </c>
      <c r="BT41" s="347"/>
      <c r="BU41" s="352" t="s">
        <v>71</v>
      </c>
    </row>
    <row r="42" spans="2:73" ht="15">
      <c r="B42" s="33">
        <f>U42</f>
        <v>1</v>
      </c>
      <c r="C42" s="46" t="s">
        <v>6</v>
      </c>
      <c r="D42" s="240">
        <v>2373</v>
      </c>
      <c r="E42" s="79" t="s">
        <v>94</v>
      </c>
      <c r="F42" s="192" t="s">
        <v>91</v>
      </c>
      <c r="G42" s="57"/>
      <c r="H42" s="69"/>
      <c r="I42" s="141">
        <f>+S52</f>
        <v>3</v>
      </c>
      <c r="J42" s="142">
        <f>+T52</f>
        <v>1</v>
      </c>
      <c r="K42" s="143">
        <f>S48</f>
        <v>3</v>
      </c>
      <c r="L42" s="143">
        <f>T48</f>
        <v>0</v>
      </c>
      <c r="M42" s="141">
        <f>S50</f>
        <v>3</v>
      </c>
      <c r="N42" s="142">
        <f>T50</f>
        <v>0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410">
        <f>+AC42</f>
        <v>6</v>
      </c>
      <c r="T42" s="411"/>
      <c r="U42" s="482">
        <v>1</v>
      </c>
      <c r="V42" s="483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2</v>
      </c>
      <c r="AC42" s="332">
        <f>SUM(Y42:AB42)</f>
        <v>6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">
      <c r="B43" s="33">
        <f>U43</f>
        <v>2</v>
      </c>
      <c r="C43" s="47" t="s">
        <v>7</v>
      </c>
      <c r="D43" s="240">
        <v>2365</v>
      </c>
      <c r="E43" s="79" t="s">
        <v>87</v>
      </c>
      <c r="F43" s="192" t="s">
        <v>88</v>
      </c>
      <c r="G43" s="59">
        <f>+T52</f>
        <v>1</v>
      </c>
      <c r="H43" s="144">
        <f>+S52</f>
        <v>3</v>
      </c>
      <c r="I43" s="145"/>
      <c r="J43" s="146"/>
      <c r="K43" s="144">
        <f>S51</f>
        <v>3</v>
      </c>
      <c r="L43" s="144">
        <f>T51</f>
        <v>0</v>
      </c>
      <c r="M43" s="147">
        <f>S49</f>
        <v>3</v>
      </c>
      <c r="N43" s="148">
        <f>T49</f>
        <v>0</v>
      </c>
      <c r="O43" s="144"/>
      <c r="P43" s="60"/>
      <c r="Q43" s="198">
        <f>IF(SUM(G43:P43)=0,0,COUNTIF(J42:J45,"3"))</f>
        <v>2</v>
      </c>
      <c r="R43" s="199">
        <f>IF(SUM(H43:Q43)=0,0,COUNTIF(I42:I45,"3"))</f>
        <v>1</v>
      </c>
      <c r="S43" s="410">
        <f>+AC43</f>
        <v>5</v>
      </c>
      <c r="T43" s="411"/>
      <c r="U43" s="482">
        <v>2</v>
      </c>
      <c r="V43" s="483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5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">
      <c r="B44" s="33">
        <f>U44</f>
        <v>4</v>
      </c>
      <c r="C44" s="47" t="s">
        <v>8</v>
      </c>
      <c r="D44" s="389">
        <v>2237</v>
      </c>
      <c r="E44" s="390" t="s">
        <v>90</v>
      </c>
      <c r="F44" s="193" t="s">
        <v>91</v>
      </c>
      <c r="G44" s="59">
        <f>+T48</f>
        <v>0</v>
      </c>
      <c r="H44" s="144">
        <f>+S48</f>
        <v>3</v>
      </c>
      <c r="I44" s="147">
        <f>T51</f>
        <v>0</v>
      </c>
      <c r="J44" s="148">
        <f>S51</f>
        <v>3</v>
      </c>
      <c r="K44" s="149"/>
      <c r="L44" s="149"/>
      <c r="M44" s="147">
        <f>S53</f>
        <v>0</v>
      </c>
      <c r="N44" s="148">
        <f>T53</f>
        <v>3</v>
      </c>
      <c r="O44" s="144"/>
      <c r="P44" s="60"/>
      <c r="Q44" s="198">
        <f>IF(SUM(G44:P44)=0,0,COUNTIF(L42:L45,"3"))</f>
        <v>0</v>
      </c>
      <c r="R44" s="199">
        <f>IF(SUM(H44:Q44)=0,0,COUNTIF(K42:K45,"3"))</f>
        <v>3</v>
      </c>
      <c r="S44" s="410">
        <f>+AC44</f>
        <v>3</v>
      </c>
      <c r="T44" s="411"/>
      <c r="U44" s="482">
        <v>4</v>
      </c>
      <c r="V44" s="483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1</v>
      </c>
      <c r="AC44" s="332">
        <f>SUM(Y44:AB44)</f>
        <v>3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5.75" thickBot="1">
      <c r="B45" s="33">
        <f>U45</f>
        <v>3</v>
      </c>
      <c r="C45" s="48" t="s">
        <v>9</v>
      </c>
      <c r="D45" s="391">
        <v>2225</v>
      </c>
      <c r="E45" s="392" t="s">
        <v>98</v>
      </c>
      <c r="F45" s="245" t="s">
        <v>96</v>
      </c>
      <c r="G45" s="61">
        <f>T50</f>
        <v>0</v>
      </c>
      <c r="H45" s="150">
        <f>S50</f>
        <v>3</v>
      </c>
      <c r="I45" s="151">
        <f>T49</f>
        <v>0</v>
      </c>
      <c r="J45" s="152">
        <f>S49</f>
        <v>3</v>
      </c>
      <c r="K45" s="150">
        <f>T53</f>
        <v>3</v>
      </c>
      <c r="L45" s="150">
        <f>S53</f>
        <v>0</v>
      </c>
      <c r="M45" s="153"/>
      <c r="N45" s="154"/>
      <c r="O45" s="150"/>
      <c r="P45" s="62"/>
      <c r="Q45" s="200">
        <f>IF(SUM(G45:P45)=0,0,COUNTIF(N42:N45,"3"))</f>
        <v>1</v>
      </c>
      <c r="R45" s="201">
        <f>IF(SUM(H45:Q45)=0,0,COUNTIF(M42:M45,"3"))</f>
        <v>2</v>
      </c>
      <c r="S45" s="410">
        <f>+AC45</f>
        <v>4</v>
      </c>
      <c r="T45" s="411"/>
      <c r="U45" s="488">
        <v>3</v>
      </c>
      <c r="V45" s="489"/>
      <c r="Y45" s="250">
        <f>IF($T50=3,2,IF($W50=1,0,1))</f>
        <v>1</v>
      </c>
      <c r="Z45" s="250">
        <f>IF($T49=3,2,IF($W49=1,0,1))</f>
        <v>1</v>
      </c>
      <c r="AA45" s="250">
        <f>IF($T53=3,2,IF($W53=1,0,1))</f>
        <v>2</v>
      </c>
      <c r="AB45" s="331"/>
      <c r="AC45" s="332">
        <f>SUM(Y45:AB45)</f>
        <v>4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" thickBot="1">
      <c r="C47" s="52"/>
      <c r="D47" s="228"/>
      <c r="E47" s="66" t="s">
        <v>14</v>
      </c>
      <c r="F47" s="1"/>
      <c r="G47" s="1"/>
      <c r="H47" s="2"/>
      <c r="I47" s="484" t="s">
        <v>15</v>
      </c>
      <c r="J47" s="485"/>
      <c r="K47" s="486" t="s">
        <v>16</v>
      </c>
      <c r="L47" s="485"/>
      <c r="M47" s="486" t="s">
        <v>17</v>
      </c>
      <c r="N47" s="485"/>
      <c r="O47" s="486" t="s">
        <v>18</v>
      </c>
      <c r="P47" s="485"/>
      <c r="Q47" s="486" t="s">
        <v>19</v>
      </c>
      <c r="R47" s="485"/>
      <c r="S47" s="443" t="s">
        <v>20</v>
      </c>
      <c r="T47" s="430"/>
      <c r="U47" s="259" t="s">
        <v>13</v>
      </c>
      <c r="V47" s="260"/>
      <c r="W47" s="377" t="s">
        <v>70</v>
      </c>
      <c r="X47" s="250" t="s">
        <v>80</v>
      </c>
      <c r="Y47" s="250" t="s">
        <v>81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Samuli Soine</v>
      </c>
      <c r="F48" s="75" t="str">
        <f>IF(E44&gt;0,E44,0)</f>
        <v>Aleksi Mustonen</v>
      </c>
      <c r="G48" s="3"/>
      <c r="H48" s="4"/>
      <c r="I48" s="478">
        <v>6</v>
      </c>
      <c r="J48" s="480"/>
      <c r="K48" s="478">
        <v>4</v>
      </c>
      <c r="L48" s="480"/>
      <c r="M48" s="478">
        <v>10</v>
      </c>
      <c r="N48" s="480"/>
      <c r="O48" s="478"/>
      <c r="P48" s="480"/>
      <c r="Q48" s="487"/>
      <c r="R48" s="479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0</v>
      </c>
      <c r="U48" s="54">
        <f aca="true" t="shared" si="26" ref="U48:V53">+AI48+AK48+AM48+AO48+AQ48</f>
        <v>34</v>
      </c>
      <c r="V48" s="5">
        <f t="shared" si="26"/>
        <v>20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6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4</v>
      </c>
      <c r="AM48" s="6">
        <f aca="true" t="shared" si="31" ref="AM48:AM53">IF(M48="",0,IF(LEFT(M48,1)="-",ABS(M48),(IF(M48&gt;9,M48+2,11))))</f>
        <v>12</v>
      </c>
      <c r="AN48" s="7">
        <f aca="true" t="shared" si="32" ref="AN48:AN53">IF(M48="",0,IF(LEFT(M48,1)="-",(IF(ABS(M48)&gt;9,(ABS(M48)+2),11)),M48))</f>
        <v>10</v>
      </c>
      <c r="AO48" s="6">
        <f aca="true" t="shared" si="33" ref="AO48:AO53">IF(O48="",0,IF(LEFT(O48,1)="-",ABS(O48),(IF(O48&gt;9,O48+2,11))))</f>
        <v>0</v>
      </c>
      <c r="AP48" s="7">
        <f aca="true" t="shared" si="34" ref="AP48:AP53">IF(O48="",0,IF(LEFT(O48,1)="-",(IF(ABS(O48)&gt;9,(ABS(O48)+2),11)),O48))</f>
        <v>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Mika Räsänen</v>
      </c>
      <c r="F49" s="76" t="str">
        <f>IF(E45&gt;0,E45,0)</f>
        <v>Veikka Flemming</v>
      </c>
      <c r="G49" s="8"/>
      <c r="H49" s="4"/>
      <c r="I49" s="473">
        <v>15</v>
      </c>
      <c r="J49" s="474"/>
      <c r="K49" s="473">
        <v>9</v>
      </c>
      <c r="L49" s="474"/>
      <c r="M49" s="473">
        <v>9</v>
      </c>
      <c r="N49" s="474"/>
      <c r="O49" s="473"/>
      <c r="P49" s="474"/>
      <c r="Q49" s="473"/>
      <c r="R49" s="477"/>
      <c r="S49" s="216">
        <f t="shared" si="24"/>
        <v>3</v>
      </c>
      <c r="T49" s="205">
        <f t="shared" si="25"/>
        <v>0</v>
      </c>
      <c r="U49" s="54">
        <f t="shared" si="26"/>
        <v>39</v>
      </c>
      <c r="V49" s="5">
        <f t="shared" si="26"/>
        <v>33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17</v>
      </c>
      <c r="AJ49" s="10">
        <f t="shared" si="28"/>
        <v>15</v>
      </c>
      <c r="AK49" s="9">
        <f t="shared" si="29"/>
        <v>11</v>
      </c>
      <c r="AL49" s="10">
        <f t="shared" si="30"/>
        <v>9</v>
      </c>
      <c r="AM49" s="9">
        <f t="shared" si="31"/>
        <v>11</v>
      </c>
      <c r="AN49" s="10">
        <f t="shared" si="32"/>
        <v>9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Samuli Soine</v>
      </c>
      <c r="F50" s="77" t="str">
        <f>IF(E45&gt;0,E45,0)</f>
        <v>Veikka Flemming</v>
      </c>
      <c r="G50" s="8"/>
      <c r="H50" s="65"/>
      <c r="I50" s="473">
        <v>1</v>
      </c>
      <c r="J50" s="474"/>
      <c r="K50" s="473">
        <v>3</v>
      </c>
      <c r="L50" s="474"/>
      <c r="M50" s="473">
        <v>3</v>
      </c>
      <c r="N50" s="474"/>
      <c r="O50" s="473"/>
      <c r="P50" s="474"/>
      <c r="Q50" s="473"/>
      <c r="R50" s="477"/>
      <c r="S50" s="216">
        <f t="shared" si="24"/>
        <v>3</v>
      </c>
      <c r="T50" s="205">
        <f t="shared" si="25"/>
        <v>0</v>
      </c>
      <c r="U50" s="54">
        <f t="shared" si="26"/>
        <v>33</v>
      </c>
      <c r="V50" s="5">
        <f t="shared" si="26"/>
        <v>7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11</v>
      </c>
      <c r="AJ50" s="10">
        <f t="shared" si="28"/>
        <v>1</v>
      </c>
      <c r="AK50" s="9">
        <f t="shared" si="29"/>
        <v>11</v>
      </c>
      <c r="AL50" s="10">
        <f t="shared" si="30"/>
        <v>3</v>
      </c>
      <c r="AM50" s="9">
        <f t="shared" si="31"/>
        <v>11</v>
      </c>
      <c r="AN50" s="10">
        <f t="shared" si="32"/>
        <v>3</v>
      </c>
      <c r="AO50" s="9">
        <f t="shared" si="33"/>
        <v>0</v>
      </c>
      <c r="AP50" s="10">
        <f t="shared" si="34"/>
        <v>0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Mika Räsänen</v>
      </c>
      <c r="F51" s="76" t="str">
        <f>IF(E44&gt;0,E44,0)</f>
        <v>Aleksi Mustonen</v>
      </c>
      <c r="G51" s="3"/>
      <c r="H51" s="4"/>
      <c r="I51" s="478">
        <v>8</v>
      </c>
      <c r="J51" s="480"/>
      <c r="K51" s="478">
        <v>8</v>
      </c>
      <c r="L51" s="480"/>
      <c r="M51" s="478">
        <v>8</v>
      </c>
      <c r="N51" s="480"/>
      <c r="O51" s="478"/>
      <c r="P51" s="480"/>
      <c r="Q51" s="478"/>
      <c r="R51" s="479"/>
      <c r="S51" s="216">
        <f t="shared" si="24"/>
        <v>3</v>
      </c>
      <c r="T51" s="205">
        <f t="shared" si="25"/>
        <v>0</v>
      </c>
      <c r="U51" s="54">
        <f t="shared" si="26"/>
        <v>33</v>
      </c>
      <c r="V51" s="5">
        <f t="shared" si="26"/>
        <v>24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11</v>
      </c>
      <c r="AJ51" s="10">
        <f t="shared" si="28"/>
        <v>8</v>
      </c>
      <c r="AK51" s="9">
        <f t="shared" si="29"/>
        <v>11</v>
      </c>
      <c r="AL51" s="10">
        <f t="shared" si="30"/>
        <v>8</v>
      </c>
      <c r="AM51" s="9">
        <f t="shared" si="31"/>
        <v>11</v>
      </c>
      <c r="AN51" s="10">
        <f t="shared" si="32"/>
        <v>8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Samuli Soine</v>
      </c>
      <c r="F52" s="76" t="str">
        <f>IF(E43&gt;0,E43,0)</f>
        <v>Mika Räsänen</v>
      </c>
      <c r="G52" s="8"/>
      <c r="H52" s="4"/>
      <c r="I52" s="473">
        <v>9</v>
      </c>
      <c r="J52" s="474"/>
      <c r="K52" s="473">
        <v>3</v>
      </c>
      <c r="L52" s="474"/>
      <c r="M52" s="475">
        <v>-9</v>
      </c>
      <c r="N52" s="474"/>
      <c r="O52" s="473">
        <v>2</v>
      </c>
      <c r="P52" s="474"/>
      <c r="Q52" s="473"/>
      <c r="R52" s="477"/>
      <c r="S52" s="216">
        <f t="shared" si="24"/>
        <v>3</v>
      </c>
      <c r="T52" s="205">
        <f t="shared" si="25"/>
        <v>1</v>
      </c>
      <c r="U52" s="54">
        <f t="shared" si="26"/>
        <v>42</v>
      </c>
      <c r="V52" s="5">
        <f t="shared" si="26"/>
        <v>25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11</v>
      </c>
      <c r="AJ52" s="10">
        <f t="shared" si="28"/>
        <v>9</v>
      </c>
      <c r="AK52" s="9">
        <f t="shared" si="29"/>
        <v>11</v>
      </c>
      <c r="AL52" s="10">
        <f t="shared" si="30"/>
        <v>3</v>
      </c>
      <c r="AM52" s="9">
        <f t="shared" si="31"/>
        <v>9</v>
      </c>
      <c r="AN52" s="10">
        <f t="shared" si="32"/>
        <v>11</v>
      </c>
      <c r="AO52" s="9">
        <f t="shared" si="33"/>
        <v>11</v>
      </c>
      <c r="AP52" s="10">
        <f t="shared" si="34"/>
        <v>2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" thickBot="1">
      <c r="C53" s="56" t="s">
        <v>26</v>
      </c>
      <c r="D53" s="230"/>
      <c r="E53" s="84" t="str">
        <f>IF(E44&gt;0,E44,0)</f>
        <v>Aleksi Mustonen</v>
      </c>
      <c r="F53" s="78" t="str">
        <f>IF(E45&gt;0,E45,0)</f>
        <v>Veikka Flemming</v>
      </c>
      <c r="G53" s="1"/>
      <c r="H53" s="28"/>
      <c r="I53" s="471">
        <v>-10</v>
      </c>
      <c r="J53" s="476"/>
      <c r="K53" s="471">
        <v>-10</v>
      </c>
      <c r="L53" s="476"/>
      <c r="M53" s="471">
        <v>-8</v>
      </c>
      <c r="N53" s="476"/>
      <c r="O53" s="471"/>
      <c r="P53" s="476"/>
      <c r="Q53" s="471"/>
      <c r="R53" s="472"/>
      <c r="S53" s="206">
        <f t="shared" si="24"/>
        <v>0</v>
      </c>
      <c r="T53" s="207">
        <f t="shared" si="25"/>
        <v>3</v>
      </c>
      <c r="U53" s="386">
        <f t="shared" si="26"/>
        <v>28</v>
      </c>
      <c r="V53" s="387">
        <f t="shared" si="26"/>
        <v>35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10</v>
      </c>
      <c r="AJ53" s="12">
        <f t="shared" si="28"/>
        <v>12</v>
      </c>
      <c r="AK53" s="11">
        <f t="shared" si="29"/>
        <v>10</v>
      </c>
      <c r="AL53" s="12">
        <f t="shared" si="30"/>
        <v>12</v>
      </c>
      <c r="AM53" s="11">
        <f t="shared" si="31"/>
        <v>8</v>
      </c>
      <c r="AN53" s="12">
        <f t="shared" si="32"/>
        <v>11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5.75" thickBot="1">
      <c r="F55" s="190" t="s">
        <v>63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">
      <c r="C56" s="34"/>
      <c r="D56" s="232"/>
      <c r="E56" s="195" t="str">
        <f>$E$5</f>
        <v>TOP-12 finaali</v>
      </c>
      <c r="F56" s="35"/>
      <c r="G56" s="35"/>
      <c r="H56" s="35"/>
      <c r="I56" s="36"/>
      <c r="J56" s="433"/>
      <c r="K56" s="434"/>
      <c r="L56" s="434"/>
      <c r="M56" s="155"/>
      <c r="N56" s="38"/>
      <c r="O56" s="38"/>
      <c r="P56" s="38"/>
      <c r="Q56" s="156" t="s">
        <v>0</v>
      </c>
      <c r="R56" s="157"/>
      <c r="S56" s="435" t="s">
        <v>42</v>
      </c>
      <c r="T56" s="435"/>
      <c r="U56" s="435"/>
      <c r="V56" s="435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5.75" thickBot="1">
      <c r="C57" s="99"/>
      <c r="D57" s="233"/>
      <c r="E57" s="196" t="str">
        <f>$E$6</f>
        <v>SPTL</v>
      </c>
      <c r="F57" s="100" t="s">
        <v>1</v>
      </c>
      <c r="G57" s="448"/>
      <c r="H57" s="469"/>
      <c r="I57" s="470"/>
      <c r="J57" s="450" t="s">
        <v>2</v>
      </c>
      <c r="K57" s="451"/>
      <c r="L57" s="451"/>
      <c r="M57" s="452" t="str">
        <f>$M$6</f>
        <v>14.12.2018</v>
      </c>
      <c r="N57" s="452"/>
      <c r="O57" s="452"/>
      <c r="P57" s="453"/>
      <c r="Q57" s="436" t="s">
        <v>3</v>
      </c>
      <c r="R57" s="437"/>
      <c r="S57" s="438" t="str">
        <f>$S$6</f>
        <v>11:00</v>
      </c>
      <c r="T57" s="439"/>
      <c r="U57" s="439"/>
      <c r="V57" s="440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" thickBot="1">
      <c r="C58" s="43"/>
      <c r="D58" s="238"/>
      <c r="E58" s="317" t="s">
        <v>4</v>
      </c>
      <c r="F58" s="175" t="s">
        <v>5</v>
      </c>
      <c r="G58" s="454" t="s">
        <v>6</v>
      </c>
      <c r="H58" s="459"/>
      <c r="I58" s="460" t="s">
        <v>7</v>
      </c>
      <c r="J58" s="461"/>
      <c r="K58" s="462" t="s">
        <v>8</v>
      </c>
      <c r="L58" s="459"/>
      <c r="M58" s="460" t="s">
        <v>9</v>
      </c>
      <c r="N58" s="461"/>
      <c r="O58" s="463" t="s">
        <v>27</v>
      </c>
      <c r="P58" s="459"/>
      <c r="Q58" s="468" t="s">
        <v>28</v>
      </c>
      <c r="R58" s="442"/>
      <c r="S58" s="44" t="s">
        <v>10</v>
      </c>
      <c r="T58" s="45" t="s">
        <v>11</v>
      </c>
      <c r="U58" s="447" t="s">
        <v>69</v>
      </c>
      <c r="V58" s="442"/>
      <c r="W58" s="160" t="s">
        <v>12</v>
      </c>
      <c r="X58" s="365"/>
      <c r="Y58" s="330" t="s">
        <v>74</v>
      </c>
      <c r="Z58" s="300"/>
      <c r="AA58" s="300"/>
      <c r="AB58" s="300"/>
      <c r="AC58" s="368"/>
      <c r="AD58" s="369"/>
      <c r="AE58" s="337" t="s">
        <v>73</v>
      </c>
      <c r="AG58" s="197" t="s">
        <v>64</v>
      </c>
      <c r="AI58" s="330" t="s">
        <v>74</v>
      </c>
      <c r="AJ58" s="300"/>
      <c r="AK58" s="300"/>
      <c r="AL58" s="324"/>
      <c r="AO58" s="337" t="s">
        <v>73</v>
      </c>
      <c r="AQ58" s="466" t="s">
        <v>6</v>
      </c>
      <c r="AR58" s="467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90" t="s">
        <v>28</v>
      </c>
      <c r="BB58" s="491"/>
      <c r="BC58" s="261" t="s">
        <v>65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76</v>
      </c>
      <c r="BT58" s="341"/>
      <c r="BU58" s="325" t="s">
        <v>71</v>
      </c>
    </row>
    <row r="59" spans="2:73" ht="15">
      <c r="B59" s="33">
        <f aca="true" t="shared" si="36" ref="B59:B64">W59</f>
        <v>5</v>
      </c>
      <c r="C59" s="235">
        <v>1</v>
      </c>
      <c r="D59" s="314" t="s">
        <v>44</v>
      </c>
      <c r="E59" s="242" t="str">
        <f>VLOOKUP(1,$B$8:$F$11,4,FALSE)</f>
        <v>Toni Soine</v>
      </c>
      <c r="F59" s="164" t="str">
        <f>VLOOKUP(1,$B$8:$F$11,5,FALSE)</f>
        <v>PT Espoo</v>
      </c>
      <c r="G59" s="14"/>
      <c r="H59" s="104"/>
      <c r="I59" s="105">
        <f>+S79</f>
        <v>2</v>
      </c>
      <c r="J59" s="106">
        <f>+T79</f>
        <v>3</v>
      </c>
      <c r="K59" s="25">
        <f>S73</f>
        <v>2</v>
      </c>
      <c r="L59" s="25">
        <f>T73</f>
        <v>3</v>
      </c>
      <c r="M59" s="105">
        <f>S70</f>
        <v>2</v>
      </c>
      <c r="N59" s="106">
        <f>T70</f>
        <v>3</v>
      </c>
      <c r="O59" s="25">
        <f>S67</f>
        <v>3</v>
      </c>
      <c r="P59" s="25">
        <f>T67</f>
        <v>2</v>
      </c>
      <c r="Q59" s="105">
        <f>S76</f>
        <v>1</v>
      </c>
      <c r="R59" s="17">
        <f>T76</f>
        <v>3</v>
      </c>
      <c r="S59" s="18">
        <f>IF(SUM(G59:R59)=0,0,COUNTIF(H59:H64,"3"))</f>
        <v>1</v>
      </c>
      <c r="T59" s="19">
        <f>IF(SUM(H59:R59)=0,0,COUNTIF(G59:G64,"3"))</f>
        <v>4</v>
      </c>
      <c r="U59" s="410">
        <f aca="true" t="shared" si="37" ref="U59:U64">+AE59</f>
        <v>6</v>
      </c>
      <c r="V59" s="411"/>
      <c r="W59" s="217">
        <v>5</v>
      </c>
      <c r="X59" s="366"/>
      <c r="Y59" s="331"/>
      <c r="Z59" s="250">
        <f>IF($S79=3,2,IF($W79=1,0,1))</f>
        <v>1</v>
      </c>
      <c r="AA59" s="250">
        <f>IF($S73=3,2,IF($W73=1,0,1))</f>
        <v>1</v>
      </c>
      <c r="AB59" s="250">
        <f>IF($S70=3,2,IF($W70=1,0,1))</f>
        <v>1</v>
      </c>
      <c r="AC59" s="250">
        <f>IF($S67=3,2,IF($W67=1,0,1))</f>
        <v>2</v>
      </c>
      <c r="AD59" s="250">
        <f>IF($S76=3,2,IF($W76=1,0,1))</f>
        <v>1</v>
      </c>
      <c r="AE59" s="332">
        <f aca="true" t="shared" si="38" ref="AE59:AE64">SUM(Y59:AD59)</f>
        <v>6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">
      <c r="B60" s="33">
        <f t="shared" si="36"/>
        <v>3</v>
      </c>
      <c r="C60" s="236">
        <v>2</v>
      </c>
      <c r="D60" s="314" t="s">
        <v>45</v>
      </c>
      <c r="E60" s="242" t="str">
        <f>VLOOKUP(1,$B$25:$F$28,4,FALSE)</f>
        <v>Alex Naumi</v>
      </c>
      <c r="F60" s="164" t="str">
        <f>VLOOKUP(1,$B$25:$F$28,5,FALSE)</f>
        <v>KoKa</v>
      </c>
      <c r="G60" s="20">
        <f>+T79</f>
        <v>3</v>
      </c>
      <c r="H60" s="107">
        <f>+S79</f>
        <v>2</v>
      </c>
      <c r="I60" s="108"/>
      <c r="J60" s="109"/>
      <c r="K60" s="107">
        <f>S77</f>
        <v>3</v>
      </c>
      <c r="L60" s="107">
        <f>T77</f>
        <v>0</v>
      </c>
      <c r="M60" s="110">
        <f>S68</f>
        <v>3</v>
      </c>
      <c r="N60" s="111">
        <f>T68</f>
        <v>0</v>
      </c>
      <c r="O60" s="25">
        <f>S74</f>
        <v>1</v>
      </c>
      <c r="P60" s="25">
        <f>T74</f>
        <v>3</v>
      </c>
      <c r="Q60" s="105">
        <f>S71</f>
        <v>2</v>
      </c>
      <c r="R60" s="17">
        <f>T71</f>
        <v>3</v>
      </c>
      <c r="S60" s="18">
        <f>IF(SUM(G60:R60)=0,0,COUNTIF(J59:J64,"3"))</f>
        <v>3</v>
      </c>
      <c r="T60" s="19">
        <f>IF(SUM(H60:R60)=0,0,COUNTIF(I59:I64,"3"))</f>
        <v>2</v>
      </c>
      <c r="U60" s="410">
        <f t="shared" si="37"/>
        <v>8</v>
      </c>
      <c r="V60" s="411"/>
      <c r="W60" s="217">
        <v>3</v>
      </c>
      <c r="X60" s="366"/>
      <c r="Y60" s="250">
        <f>IF($T79=3,2,IF($W79=1,0,1))</f>
        <v>2</v>
      </c>
      <c r="Z60" s="331"/>
      <c r="AA60" s="250">
        <f>IF($S77=3,2,IF($W77=1,0,1))</f>
        <v>2</v>
      </c>
      <c r="AB60" s="250">
        <f>IF($S68=3,2,IF($W68=1,0,1))</f>
        <v>2</v>
      </c>
      <c r="AC60" s="250">
        <f>IF($S74=3,2,IF($W74=1,0,1))</f>
        <v>1</v>
      </c>
      <c r="AD60" s="250">
        <f>IF($S71=3,2,IF($W71=1,0,1))</f>
        <v>1</v>
      </c>
      <c r="AE60" s="332">
        <f t="shared" si="38"/>
        <v>8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">
      <c r="B61" s="33">
        <f t="shared" si="36"/>
        <v>1</v>
      </c>
      <c r="C61" s="236">
        <v>3</v>
      </c>
      <c r="D61" s="314" t="s">
        <v>46</v>
      </c>
      <c r="E61" s="242" t="str">
        <f>VLOOKUP(1,$B$42:$F$45,4,FALSE)</f>
        <v>Samuli Soine</v>
      </c>
      <c r="F61" s="164" t="str">
        <f>VLOOKUP(1,$B$42:$F$45,5,FALSE)</f>
        <v>TIP-70</v>
      </c>
      <c r="G61" s="20">
        <f>+T73</f>
        <v>3</v>
      </c>
      <c r="H61" s="107">
        <f>+S73</f>
        <v>2</v>
      </c>
      <c r="I61" s="110">
        <f>T77</f>
        <v>0</v>
      </c>
      <c r="J61" s="111">
        <f>S77</f>
        <v>3</v>
      </c>
      <c r="K61" s="24"/>
      <c r="L61" s="24"/>
      <c r="M61" s="110">
        <f>S80</f>
        <v>3</v>
      </c>
      <c r="N61" s="111">
        <f>T80</f>
        <v>1</v>
      </c>
      <c r="O61" s="25">
        <f>S72</f>
        <v>3</v>
      </c>
      <c r="P61" s="25">
        <f>T72</f>
        <v>0</v>
      </c>
      <c r="Q61" s="105">
        <f>S69</f>
        <v>3</v>
      </c>
      <c r="R61" s="17">
        <f>T69</f>
        <v>1</v>
      </c>
      <c r="S61" s="18">
        <f>IF(SUM(G61:R61)=0,0,COUNTIF(L59:L64,"3"))</f>
        <v>4</v>
      </c>
      <c r="T61" s="19">
        <f>IF(SUM(H61:R61)=0,0,COUNTIF(K59:K64,"3"))</f>
        <v>1</v>
      </c>
      <c r="U61" s="410">
        <f t="shared" si="37"/>
        <v>9</v>
      </c>
      <c r="V61" s="411"/>
      <c r="W61" s="217">
        <v>1</v>
      </c>
      <c r="X61" s="366"/>
      <c r="Y61" s="250">
        <f>IF($T73=3,2,IF($W73=1,0,1))</f>
        <v>2</v>
      </c>
      <c r="Z61" s="250">
        <f>IF($T77=3,2,IF($W77=1,0,1))</f>
        <v>1</v>
      </c>
      <c r="AA61" s="331"/>
      <c r="AB61" s="250">
        <f>IF($S80=3,2,IF($W80=1,0,1))</f>
        <v>2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9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">
      <c r="B62" s="33">
        <f t="shared" si="36"/>
        <v>4</v>
      </c>
      <c r="C62" s="236">
        <v>4</v>
      </c>
      <c r="D62" s="314" t="s">
        <v>47</v>
      </c>
      <c r="E62" s="242" t="str">
        <f>VLOOKUP(2,$B$25:$F$28,4,FALSE)</f>
        <v>Jani Jormanainen</v>
      </c>
      <c r="F62" s="164" t="str">
        <f>VLOOKUP(2,$B$25:$F$28,5,FALSE)</f>
        <v>PT Espoo</v>
      </c>
      <c r="G62" s="20">
        <f>T70</f>
        <v>3</v>
      </c>
      <c r="H62" s="107">
        <f>S70</f>
        <v>2</v>
      </c>
      <c r="I62" s="110">
        <f>T68</f>
        <v>0</v>
      </c>
      <c r="J62" s="111">
        <f>S68</f>
        <v>3</v>
      </c>
      <c r="K62" s="107">
        <f>T80</f>
        <v>1</v>
      </c>
      <c r="L62" s="107">
        <f>S80</f>
        <v>3</v>
      </c>
      <c r="M62" s="108"/>
      <c r="N62" s="109"/>
      <c r="O62" s="25">
        <f>S78</f>
        <v>3</v>
      </c>
      <c r="P62" s="25">
        <f>T78</f>
        <v>0</v>
      </c>
      <c r="Q62" s="105">
        <f>S75</f>
        <v>2</v>
      </c>
      <c r="R62" s="17">
        <f>T75</f>
        <v>3</v>
      </c>
      <c r="S62" s="18">
        <f>IF(SUM(G62:R62)=0,0,COUNTIF(N59:N64,"3"))</f>
        <v>2</v>
      </c>
      <c r="T62" s="19">
        <f>IF(SUM(H62:R62)=0,0,COUNTIF(M59:M64,"3"))</f>
        <v>3</v>
      </c>
      <c r="U62" s="410">
        <f t="shared" si="37"/>
        <v>7</v>
      </c>
      <c r="V62" s="411"/>
      <c r="W62" s="217">
        <v>4</v>
      </c>
      <c r="X62" s="366"/>
      <c r="Y62" s="250">
        <f>IF($T70=3,2,IF($W70=1,0,1))</f>
        <v>2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2</v>
      </c>
      <c r="AD62" s="250">
        <f>IF($S75=3,2,IF($W75=1,0,1))</f>
        <v>1</v>
      </c>
      <c r="AE62" s="332">
        <f t="shared" si="38"/>
        <v>7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">
      <c r="B63" s="33">
        <f t="shared" si="36"/>
        <v>6</v>
      </c>
      <c r="C63" s="236">
        <v>5</v>
      </c>
      <c r="D63" s="314" t="s">
        <v>48</v>
      </c>
      <c r="E63" s="242" t="str">
        <f>VLOOKUP(2,$B$8:$F$11,4,FALSE)</f>
        <v>Riku Autio</v>
      </c>
      <c r="F63" s="164" t="str">
        <f>VLOOKUP(2,$B$8:$F$11,5,FALSE)</f>
        <v>Koka</v>
      </c>
      <c r="G63" s="20">
        <f>+T67</f>
        <v>2</v>
      </c>
      <c r="H63" s="107">
        <f>+S67</f>
        <v>3</v>
      </c>
      <c r="I63" s="110">
        <f>T74</f>
        <v>3</v>
      </c>
      <c r="J63" s="111">
        <f>S74</f>
        <v>1</v>
      </c>
      <c r="K63" s="107">
        <f>T72</f>
        <v>0</v>
      </c>
      <c r="L63" s="107">
        <f>S72</f>
        <v>3</v>
      </c>
      <c r="M63" s="110">
        <f>T78</f>
        <v>0</v>
      </c>
      <c r="N63" s="111">
        <f>S78</f>
        <v>3</v>
      </c>
      <c r="O63" s="24"/>
      <c r="P63" s="24"/>
      <c r="Q63" s="105">
        <f>S81</f>
        <v>1</v>
      </c>
      <c r="R63" s="17">
        <f>T81</f>
        <v>3</v>
      </c>
      <c r="S63" s="26">
        <f>IF(SUM(G63:R63)=0,0,COUNTIF(P59:P64,"3"))</f>
        <v>1</v>
      </c>
      <c r="T63" s="19">
        <f>IF(SUM(H63:R63)=0,0,COUNTIF(O59:O64,"3"))</f>
        <v>4</v>
      </c>
      <c r="U63" s="410">
        <f t="shared" si="37"/>
        <v>6</v>
      </c>
      <c r="V63" s="411"/>
      <c r="W63" s="217">
        <v>6</v>
      </c>
      <c r="X63" s="366"/>
      <c r="Y63" s="250">
        <f>IF($T67=3,2,IF($W67=1,0,1))</f>
        <v>1</v>
      </c>
      <c r="Z63" s="250">
        <f>IF($T74=3,2,IF($W74=1,0,1))</f>
        <v>2</v>
      </c>
      <c r="AA63" s="250">
        <f>IF($T72=3,2,IF($W72=1,0,1))</f>
        <v>1</v>
      </c>
      <c r="AB63" s="250">
        <f>IF($T78=3,2,IF($W78=1,0,1))</f>
        <v>1</v>
      </c>
      <c r="AC63" s="331"/>
      <c r="AD63" s="250">
        <f>IF($S81=3,2,IF($W81=1,0,1))</f>
        <v>1</v>
      </c>
      <c r="AE63" s="332">
        <f t="shared" si="38"/>
        <v>6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5.75" thickBot="1">
      <c r="B64" s="33">
        <f t="shared" si="36"/>
        <v>2</v>
      </c>
      <c r="C64" s="48">
        <v>6</v>
      </c>
      <c r="D64" s="315" t="s">
        <v>49</v>
      </c>
      <c r="E64" s="166" t="str">
        <f>VLOOKUP(2,$B$42:$F$45,4,FALSE)</f>
        <v>Mika Räsänen</v>
      </c>
      <c r="F64" s="165" t="str">
        <f>VLOOKUP(2,$B$42:$F$45,5,FALSE)</f>
        <v>PT Espoo</v>
      </c>
      <c r="G64" s="112">
        <f>T76</f>
        <v>3</v>
      </c>
      <c r="H64" s="113">
        <f>S76</f>
        <v>1</v>
      </c>
      <c r="I64" s="114">
        <f>T71</f>
        <v>3</v>
      </c>
      <c r="J64" s="115">
        <f>S71</f>
        <v>2</v>
      </c>
      <c r="K64" s="113">
        <f>T69</f>
        <v>1</v>
      </c>
      <c r="L64" s="113">
        <f>S69</f>
        <v>3</v>
      </c>
      <c r="M64" s="114">
        <f>T75</f>
        <v>3</v>
      </c>
      <c r="N64" s="115">
        <f>S75</f>
        <v>2</v>
      </c>
      <c r="O64" s="113">
        <f>T81</f>
        <v>3</v>
      </c>
      <c r="P64" s="113">
        <f>S81</f>
        <v>1</v>
      </c>
      <c r="Q64" s="116"/>
      <c r="R64" s="161"/>
      <c r="S64" s="162">
        <f>IF(SUM(G64:R64)=0,0,COUNTIF(R59:R64,"3"))</f>
        <v>4</v>
      </c>
      <c r="T64" s="163">
        <f>IF(SUM(H64:S64)=0,0,COUNTIF(Q59:Q64,"3"))</f>
        <v>1</v>
      </c>
      <c r="U64" s="425">
        <f t="shared" si="37"/>
        <v>9</v>
      </c>
      <c r="V64" s="426"/>
      <c r="W64" s="218">
        <v>2</v>
      </c>
      <c r="X64" s="366"/>
      <c r="Y64" s="250">
        <f>IF($T76=3,2,IF($W76=1,0,1))</f>
        <v>2</v>
      </c>
      <c r="Z64" s="250">
        <f>IF($T71=3,2,IF($W71=1,0,1))</f>
        <v>2</v>
      </c>
      <c r="AA64" s="250">
        <f>IF($T69=3,2,IF($W69=1,0,1))</f>
        <v>1</v>
      </c>
      <c r="AB64" s="250">
        <f>IF($T75=3,2,IF($W75=1,0,1))</f>
        <v>2</v>
      </c>
      <c r="AC64" s="250">
        <f>IF($T81=3,2,IF($W81=1,0,1))</f>
        <v>2</v>
      </c>
      <c r="AD64" s="331"/>
      <c r="AE64" s="332">
        <f t="shared" si="38"/>
        <v>9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" thickBot="1">
      <c r="C66" s="48"/>
      <c r="D66" s="234"/>
      <c r="E66" s="66" t="s">
        <v>14</v>
      </c>
      <c r="F66" s="1"/>
      <c r="G66" s="1"/>
      <c r="H66" s="2"/>
      <c r="I66" s="429" t="s">
        <v>15</v>
      </c>
      <c r="J66" s="420"/>
      <c r="K66" s="419" t="s">
        <v>16</v>
      </c>
      <c r="L66" s="420"/>
      <c r="M66" s="419" t="s">
        <v>17</v>
      </c>
      <c r="N66" s="420"/>
      <c r="O66" s="419" t="s">
        <v>18</v>
      </c>
      <c r="P66" s="430"/>
      <c r="Q66" s="419" t="s">
        <v>19</v>
      </c>
      <c r="R66" s="420"/>
      <c r="S66" s="464" t="s">
        <v>20</v>
      </c>
      <c r="T66" s="465"/>
      <c r="U66" s="445" t="s">
        <v>13</v>
      </c>
      <c r="V66" s="446"/>
      <c r="W66" s="377" t="s">
        <v>70</v>
      </c>
      <c r="X66" s="250" t="s">
        <v>80</v>
      </c>
      <c r="Y66" s="250" t="s">
        <v>81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Toni Soine</v>
      </c>
      <c r="F67" s="76" t="str">
        <f>IF(E63&gt;0,E63,0)</f>
        <v>Riku Autio</v>
      </c>
      <c r="G67" s="3"/>
      <c r="H67" s="4"/>
      <c r="I67" s="427">
        <v>10</v>
      </c>
      <c r="J67" s="431"/>
      <c r="K67" s="427">
        <v>5</v>
      </c>
      <c r="L67" s="431"/>
      <c r="M67" s="432">
        <v>-10</v>
      </c>
      <c r="N67" s="431"/>
      <c r="O67" s="427">
        <v>-10</v>
      </c>
      <c r="P67" s="431"/>
      <c r="Q67" s="427">
        <v>9</v>
      </c>
      <c r="R67" s="428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2</v>
      </c>
      <c r="U67" s="186">
        <f>+AI67+AK67+AM67+AO67+AQ67</f>
        <v>54</v>
      </c>
      <c r="V67" s="187">
        <f>+AJ67+AL67+AN67+AP67+AR67</f>
        <v>48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12</v>
      </c>
      <c r="AJ67" s="7">
        <f aca="true" t="shared" si="47" ref="AJ67:AJ81">IF(I67="",0,IF(LEFT(I67,1)="-",(IF(ABS(I67)&gt;9,(ABS(I67)+2),11)),I67))</f>
        <v>10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5</v>
      </c>
      <c r="AM67" s="6">
        <f aca="true" t="shared" si="50" ref="AM67:AM81">IF(M67="",0,IF(LEFT(M67,1)="-",ABS(M67),(IF(M67&gt;9,M67+2,11))))</f>
        <v>10</v>
      </c>
      <c r="AN67" s="7">
        <f aca="true" t="shared" si="51" ref="AN67:AN81">IF(M67="",0,IF(LEFT(M67,1)="-",(IF(ABS(M67)&gt;9,(ABS(M67)+2),11)),M67))</f>
        <v>12</v>
      </c>
      <c r="AO67" s="6">
        <f aca="true" t="shared" si="52" ref="AO67:AO81">IF(O67="",0,IF(LEFT(O67,1)="-",ABS(O67),(IF(O67&gt;9,O67+2,11))))</f>
        <v>10</v>
      </c>
      <c r="AP67" s="7">
        <f aca="true" t="shared" si="53" ref="AP67:AP81">IF(O67="",0,IF(LEFT(O67,1)="-",(IF(ABS(O67)&gt;9,(ABS(O67)+2),11)),O67))</f>
        <v>12</v>
      </c>
      <c r="AQ67" s="6">
        <f aca="true" t="shared" si="54" ref="AQ67:AQ81">IF(Q67="",0,IF(LEFT(Q67,1)="-",ABS(Q67),(IF(Q67&gt;9,Q67+2,11))))</f>
        <v>11</v>
      </c>
      <c r="AR67" s="7">
        <f aca="true" t="shared" si="55" ref="AR67:AR81">IF(Q67="",0,IF(LEFT(Q67,1)="-",(IF(ABS(Q67)&gt;9,(ABS(Q67)+2),11)),Q67))</f>
        <v>9</v>
      </c>
    </row>
    <row r="68" spans="3:44" ht="15">
      <c r="C68" s="53" t="s">
        <v>22</v>
      </c>
      <c r="D68" s="229"/>
      <c r="E68" s="82" t="str">
        <f>IF(E60&gt;0,E60,0)</f>
        <v>Alex Naumi</v>
      </c>
      <c r="F68" s="76" t="str">
        <f>IF(E62&gt;0,E62,0)</f>
        <v>Jani Jormanainen</v>
      </c>
      <c r="G68" s="8"/>
      <c r="H68" s="4"/>
      <c r="I68" s="417">
        <v>9</v>
      </c>
      <c r="J68" s="418"/>
      <c r="K68" s="417">
        <v>4</v>
      </c>
      <c r="L68" s="418"/>
      <c r="M68" s="417">
        <v>9</v>
      </c>
      <c r="N68" s="418"/>
      <c r="O68" s="417"/>
      <c r="P68" s="418"/>
      <c r="Q68" s="417"/>
      <c r="R68" s="421"/>
      <c r="S68" s="220">
        <f t="shared" si="44"/>
        <v>3</v>
      </c>
      <c r="T68" s="223">
        <f t="shared" si="45"/>
        <v>0</v>
      </c>
      <c r="U68" s="188">
        <f aca="true" t="shared" si="56" ref="U68:V81">+AI68+AK68+AM68+AO68+AQ68</f>
        <v>33</v>
      </c>
      <c r="V68" s="27">
        <f t="shared" si="56"/>
        <v>22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9</v>
      </c>
      <c r="AK68" s="9">
        <f t="shared" si="48"/>
        <v>11</v>
      </c>
      <c r="AL68" s="10">
        <f t="shared" si="49"/>
        <v>4</v>
      </c>
      <c r="AM68" s="9">
        <f t="shared" si="50"/>
        <v>11</v>
      </c>
      <c r="AN68" s="10">
        <f t="shared" si="51"/>
        <v>9</v>
      </c>
      <c r="AO68" s="9">
        <f t="shared" si="52"/>
        <v>0</v>
      </c>
      <c r="AP68" s="10">
        <f t="shared" si="53"/>
        <v>0</v>
      </c>
      <c r="AQ68" s="9">
        <f t="shared" si="54"/>
        <v>0</v>
      </c>
      <c r="AR68" s="10">
        <f t="shared" si="55"/>
        <v>0</v>
      </c>
    </row>
    <row r="69" spans="3:44" ht="15" thickBot="1">
      <c r="C69" s="56" t="s">
        <v>30</v>
      </c>
      <c r="D69" s="230"/>
      <c r="E69" s="84" t="str">
        <f>IF(E61&gt;0,E61,0)</f>
        <v>Samuli Soine</v>
      </c>
      <c r="F69" s="78" t="str">
        <f>IF(E64&gt;0,E64,0)</f>
        <v>Mika Räsänen</v>
      </c>
      <c r="G69" s="1"/>
      <c r="H69" s="28"/>
      <c r="I69" s="422">
        <v>9</v>
      </c>
      <c r="J69" s="457"/>
      <c r="K69" s="422">
        <v>3</v>
      </c>
      <c r="L69" s="457"/>
      <c r="M69" s="422">
        <v>-9</v>
      </c>
      <c r="N69" s="457"/>
      <c r="O69" s="422">
        <v>2</v>
      </c>
      <c r="P69" s="457"/>
      <c r="Q69" s="422"/>
      <c r="R69" s="458"/>
      <c r="S69" s="221">
        <f t="shared" si="44"/>
        <v>3</v>
      </c>
      <c r="T69" s="224">
        <f t="shared" si="45"/>
        <v>1</v>
      </c>
      <c r="U69" s="189">
        <f t="shared" si="56"/>
        <v>42</v>
      </c>
      <c r="V69" s="159">
        <f t="shared" si="56"/>
        <v>25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9</v>
      </c>
      <c r="AK69" s="9">
        <f t="shared" si="48"/>
        <v>11</v>
      </c>
      <c r="AL69" s="10">
        <f t="shared" si="49"/>
        <v>3</v>
      </c>
      <c r="AM69" s="9">
        <f t="shared" si="50"/>
        <v>9</v>
      </c>
      <c r="AN69" s="10">
        <f t="shared" si="51"/>
        <v>11</v>
      </c>
      <c r="AO69" s="9">
        <f t="shared" si="52"/>
        <v>11</v>
      </c>
      <c r="AP69" s="10">
        <f t="shared" si="53"/>
        <v>2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Toni Soine</v>
      </c>
      <c r="F70" s="76" t="str">
        <f>IF(E62&gt;0,E62,0)</f>
        <v>Jani Jormanainen</v>
      </c>
      <c r="G70" s="3"/>
      <c r="H70" s="4"/>
      <c r="I70" s="404">
        <v>7</v>
      </c>
      <c r="J70" s="405"/>
      <c r="K70" s="404">
        <v>-9</v>
      </c>
      <c r="L70" s="405"/>
      <c r="M70" s="404">
        <v>-4</v>
      </c>
      <c r="N70" s="405"/>
      <c r="O70" s="404">
        <v>11</v>
      </c>
      <c r="P70" s="405"/>
      <c r="Q70" s="404">
        <v>-3</v>
      </c>
      <c r="R70" s="409"/>
      <c r="S70" s="219">
        <f t="shared" si="44"/>
        <v>2</v>
      </c>
      <c r="T70" s="222">
        <f t="shared" si="45"/>
        <v>3</v>
      </c>
      <c r="U70" s="177">
        <f t="shared" si="56"/>
        <v>40</v>
      </c>
      <c r="V70" s="178">
        <f t="shared" si="56"/>
        <v>51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7</v>
      </c>
      <c r="AK70" s="9">
        <f t="shared" si="48"/>
        <v>9</v>
      </c>
      <c r="AL70" s="10">
        <f t="shared" si="49"/>
        <v>11</v>
      </c>
      <c r="AM70" s="9">
        <f t="shared" si="50"/>
        <v>4</v>
      </c>
      <c r="AN70" s="10">
        <f t="shared" si="51"/>
        <v>11</v>
      </c>
      <c r="AO70" s="9">
        <f t="shared" si="52"/>
        <v>13</v>
      </c>
      <c r="AP70" s="10">
        <f t="shared" si="53"/>
        <v>11</v>
      </c>
      <c r="AQ70" s="9">
        <f t="shared" si="54"/>
        <v>3</v>
      </c>
      <c r="AR70" s="10">
        <f t="shared" si="55"/>
        <v>11</v>
      </c>
    </row>
    <row r="71" spans="3:44" ht="15">
      <c r="C71" s="53" t="s">
        <v>31</v>
      </c>
      <c r="D71" s="229"/>
      <c r="E71" s="82" t="str">
        <f>IF(E60&gt;0,E60,0)</f>
        <v>Alex Naumi</v>
      </c>
      <c r="F71" s="76" t="str">
        <f>IF(E64&gt;0,E64,0)</f>
        <v>Mika Räsänen</v>
      </c>
      <c r="G71" s="8"/>
      <c r="H71" s="4"/>
      <c r="I71" s="414">
        <v>-7</v>
      </c>
      <c r="J71" s="415"/>
      <c r="K71" s="414">
        <v>13</v>
      </c>
      <c r="L71" s="415"/>
      <c r="M71" s="414">
        <v>-9</v>
      </c>
      <c r="N71" s="415"/>
      <c r="O71" s="399">
        <v>6</v>
      </c>
      <c r="P71" s="412"/>
      <c r="Q71" s="399">
        <v>-6</v>
      </c>
      <c r="R71" s="400"/>
      <c r="S71" s="220">
        <f t="shared" si="44"/>
        <v>2</v>
      </c>
      <c r="T71" s="223">
        <f t="shared" si="45"/>
        <v>3</v>
      </c>
      <c r="U71" s="31">
        <f t="shared" si="56"/>
        <v>48</v>
      </c>
      <c r="V71" s="27">
        <f t="shared" si="56"/>
        <v>52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7</v>
      </c>
      <c r="AJ71" s="10">
        <f t="shared" si="47"/>
        <v>11</v>
      </c>
      <c r="AK71" s="9">
        <f t="shared" si="48"/>
        <v>15</v>
      </c>
      <c r="AL71" s="10">
        <f t="shared" si="49"/>
        <v>13</v>
      </c>
      <c r="AM71" s="9">
        <f t="shared" si="50"/>
        <v>9</v>
      </c>
      <c r="AN71" s="10">
        <f t="shared" si="51"/>
        <v>11</v>
      </c>
      <c r="AO71" s="9">
        <f t="shared" si="52"/>
        <v>11</v>
      </c>
      <c r="AP71" s="10">
        <f t="shared" si="53"/>
        <v>6</v>
      </c>
      <c r="AQ71" s="9">
        <f t="shared" si="54"/>
        <v>6</v>
      </c>
      <c r="AR71" s="10">
        <f t="shared" si="55"/>
        <v>11</v>
      </c>
    </row>
    <row r="72" spans="3:44" ht="15" thickBot="1">
      <c r="C72" s="56" t="s">
        <v>32</v>
      </c>
      <c r="D72" s="230"/>
      <c r="E72" s="84" t="str">
        <f>IF(E61&gt;0,E61,0)</f>
        <v>Samuli Soine</v>
      </c>
      <c r="F72" s="78" t="str">
        <f>IF(E63&gt;0,E63,0)</f>
        <v>Riku Autio</v>
      </c>
      <c r="G72" s="1"/>
      <c r="H72" s="28"/>
      <c r="I72" s="401">
        <v>4</v>
      </c>
      <c r="J72" s="403"/>
      <c r="K72" s="401">
        <v>3</v>
      </c>
      <c r="L72" s="403"/>
      <c r="M72" s="401">
        <v>5</v>
      </c>
      <c r="N72" s="403"/>
      <c r="O72" s="401"/>
      <c r="P72" s="403"/>
      <c r="Q72" s="401"/>
      <c r="R72" s="402"/>
      <c r="S72" s="221">
        <f t="shared" si="44"/>
        <v>3</v>
      </c>
      <c r="T72" s="224">
        <f t="shared" si="45"/>
        <v>0</v>
      </c>
      <c r="U72" s="184">
        <f t="shared" si="56"/>
        <v>33</v>
      </c>
      <c r="V72" s="185">
        <f t="shared" si="56"/>
        <v>12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11</v>
      </c>
      <c r="AJ72" s="12">
        <f t="shared" si="47"/>
        <v>4</v>
      </c>
      <c r="AK72" s="11">
        <f t="shared" si="48"/>
        <v>11</v>
      </c>
      <c r="AL72" s="12">
        <f t="shared" si="49"/>
        <v>3</v>
      </c>
      <c r="AM72" s="11">
        <f t="shared" si="50"/>
        <v>11</v>
      </c>
      <c r="AN72" s="12">
        <f t="shared" si="51"/>
        <v>5</v>
      </c>
      <c r="AO72" s="11">
        <f t="shared" si="52"/>
        <v>0</v>
      </c>
      <c r="AP72" s="12">
        <f t="shared" si="53"/>
        <v>0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Toni Soine</v>
      </c>
      <c r="F73" s="76" t="str">
        <f>IF(E61&gt;0,E61,0)</f>
        <v>Samuli Soine</v>
      </c>
      <c r="G73" s="3"/>
      <c r="H73" s="4"/>
      <c r="I73" s="404">
        <v>-7</v>
      </c>
      <c r="J73" s="405"/>
      <c r="K73" s="404">
        <v>10</v>
      </c>
      <c r="L73" s="405"/>
      <c r="M73" s="404">
        <v>-4</v>
      </c>
      <c r="N73" s="405"/>
      <c r="O73" s="404">
        <v>10</v>
      </c>
      <c r="P73" s="405"/>
      <c r="Q73" s="404">
        <v>-5</v>
      </c>
      <c r="R73" s="409"/>
      <c r="S73" s="219">
        <f t="shared" si="44"/>
        <v>2</v>
      </c>
      <c r="T73" s="222">
        <f t="shared" si="45"/>
        <v>3</v>
      </c>
      <c r="U73" s="186">
        <f t="shared" si="56"/>
        <v>40</v>
      </c>
      <c r="V73" s="187">
        <f t="shared" si="56"/>
        <v>53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7</v>
      </c>
      <c r="AJ73" s="7">
        <f t="shared" si="47"/>
        <v>11</v>
      </c>
      <c r="AK73" s="6">
        <f t="shared" si="48"/>
        <v>12</v>
      </c>
      <c r="AL73" s="7">
        <f t="shared" si="49"/>
        <v>10</v>
      </c>
      <c r="AM73" s="6">
        <f t="shared" si="50"/>
        <v>4</v>
      </c>
      <c r="AN73" s="7">
        <f t="shared" si="51"/>
        <v>11</v>
      </c>
      <c r="AO73" s="6">
        <f t="shared" si="52"/>
        <v>12</v>
      </c>
      <c r="AP73" s="7">
        <f t="shared" si="53"/>
        <v>10</v>
      </c>
      <c r="AQ73" s="6">
        <f t="shared" si="54"/>
        <v>5</v>
      </c>
      <c r="AR73" s="7">
        <f t="shared" si="55"/>
        <v>11</v>
      </c>
    </row>
    <row r="74" spans="3:44" ht="15">
      <c r="C74" s="53" t="s">
        <v>33</v>
      </c>
      <c r="D74" s="229"/>
      <c r="E74" s="82" t="str">
        <f>IF(E60&gt;0,E60,0)</f>
        <v>Alex Naumi</v>
      </c>
      <c r="F74" s="76" t="str">
        <f>IF(E63&gt;0,E63,0)</f>
        <v>Riku Autio</v>
      </c>
      <c r="G74" s="8"/>
      <c r="H74" s="4"/>
      <c r="I74" s="414">
        <v>7</v>
      </c>
      <c r="J74" s="415"/>
      <c r="K74" s="414">
        <v>-5</v>
      </c>
      <c r="L74" s="415"/>
      <c r="M74" s="414">
        <v>-9</v>
      </c>
      <c r="N74" s="415"/>
      <c r="O74" s="399">
        <v>-3</v>
      </c>
      <c r="P74" s="412"/>
      <c r="Q74" s="399"/>
      <c r="R74" s="400"/>
      <c r="S74" s="220">
        <f t="shared" si="44"/>
        <v>1</v>
      </c>
      <c r="T74" s="223">
        <f t="shared" si="45"/>
        <v>3</v>
      </c>
      <c r="U74" s="188">
        <f t="shared" si="56"/>
        <v>28</v>
      </c>
      <c r="V74" s="27">
        <f t="shared" si="56"/>
        <v>40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11</v>
      </c>
      <c r="AJ74" s="10">
        <f t="shared" si="47"/>
        <v>7</v>
      </c>
      <c r="AK74" s="9">
        <f t="shared" si="48"/>
        <v>5</v>
      </c>
      <c r="AL74" s="10">
        <f t="shared" si="49"/>
        <v>11</v>
      </c>
      <c r="AM74" s="9">
        <f t="shared" si="50"/>
        <v>9</v>
      </c>
      <c r="AN74" s="10">
        <f t="shared" si="51"/>
        <v>11</v>
      </c>
      <c r="AO74" s="9">
        <f t="shared" si="52"/>
        <v>3</v>
      </c>
      <c r="AP74" s="10">
        <f t="shared" si="53"/>
        <v>11</v>
      </c>
      <c r="AQ74" s="9">
        <f t="shared" si="54"/>
        <v>0</v>
      </c>
      <c r="AR74" s="10">
        <f t="shared" si="55"/>
        <v>0</v>
      </c>
    </row>
    <row r="75" spans="3:44" ht="15" thickBot="1">
      <c r="C75" s="56" t="s">
        <v>34</v>
      </c>
      <c r="D75" s="230"/>
      <c r="E75" s="84" t="str">
        <f>IF(E62&gt;0,E62,0)</f>
        <v>Jani Jormanainen</v>
      </c>
      <c r="F75" s="78" t="str">
        <f>IF(E64&gt;0,E64,0)</f>
        <v>Mika Räsänen</v>
      </c>
      <c r="G75" s="1"/>
      <c r="H75" s="28"/>
      <c r="I75" s="401">
        <v>9</v>
      </c>
      <c r="J75" s="403"/>
      <c r="K75" s="401">
        <v>-11</v>
      </c>
      <c r="L75" s="403"/>
      <c r="M75" s="401">
        <v>5</v>
      </c>
      <c r="N75" s="403"/>
      <c r="O75" s="401">
        <v>-9</v>
      </c>
      <c r="P75" s="403"/>
      <c r="Q75" s="401">
        <v>-7</v>
      </c>
      <c r="R75" s="402"/>
      <c r="S75" s="221">
        <f t="shared" si="44"/>
        <v>2</v>
      </c>
      <c r="T75" s="224">
        <f t="shared" si="45"/>
        <v>3</v>
      </c>
      <c r="U75" s="189">
        <f t="shared" si="56"/>
        <v>49</v>
      </c>
      <c r="V75" s="159">
        <f t="shared" si="56"/>
        <v>49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11</v>
      </c>
      <c r="AJ75" s="10">
        <f t="shared" si="47"/>
        <v>9</v>
      </c>
      <c r="AK75" s="9">
        <f t="shared" si="48"/>
        <v>11</v>
      </c>
      <c r="AL75" s="10">
        <f t="shared" si="49"/>
        <v>13</v>
      </c>
      <c r="AM75" s="9">
        <f t="shared" si="50"/>
        <v>11</v>
      </c>
      <c r="AN75" s="10">
        <f t="shared" si="51"/>
        <v>5</v>
      </c>
      <c r="AO75" s="9">
        <f t="shared" si="52"/>
        <v>9</v>
      </c>
      <c r="AP75" s="10">
        <f t="shared" si="53"/>
        <v>11</v>
      </c>
      <c r="AQ75" s="9">
        <f t="shared" si="54"/>
        <v>7</v>
      </c>
      <c r="AR75" s="10">
        <f t="shared" si="55"/>
        <v>11</v>
      </c>
    </row>
    <row r="76" spans="3:44" ht="15">
      <c r="C76" s="53" t="s">
        <v>35</v>
      </c>
      <c r="D76" s="229"/>
      <c r="E76" s="82" t="str">
        <f>IF(E59&gt;0,E59,0)</f>
        <v>Toni Soine</v>
      </c>
      <c r="F76" s="76" t="str">
        <f>IF(E64&gt;0,E64,0)</f>
        <v>Mika Räsänen</v>
      </c>
      <c r="G76" s="3"/>
      <c r="H76" s="4"/>
      <c r="I76" s="404">
        <v>8</v>
      </c>
      <c r="J76" s="405"/>
      <c r="K76" s="404">
        <v>-7</v>
      </c>
      <c r="L76" s="405"/>
      <c r="M76" s="404">
        <v>-5</v>
      </c>
      <c r="N76" s="405"/>
      <c r="O76" s="404">
        <v>-9</v>
      </c>
      <c r="P76" s="405"/>
      <c r="Q76" s="404"/>
      <c r="R76" s="409"/>
      <c r="S76" s="219">
        <f t="shared" si="44"/>
        <v>1</v>
      </c>
      <c r="T76" s="222">
        <f t="shared" si="45"/>
        <v>3</v>
      </c>
      <c r="U76" s="177">
        <f t="shared" si="56"/>
        <v>32</v>
      </c>
      <c r="V76" s="178">
        <f t="shared" si="56"/>
        <v>41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11</v>
      </c>
      <c r="AJ76" s="10">
        <f t="shared" si="47"/>
        <v>8</v>
      </c>
      <c r="AK76" s="9">
        <f t="shared" si="48"/>
        <v>7</v>
      </c>
      <c r="AL76" s="10">
        <f t="shared" si="49"/>
        <v>11</v>
      </c>
      <c r="AM76" s="9">
        <f t="shared" si="50"/>
        <v>5</v>
      </c>
      <c r="AN76" s="10">
        <f t="shared" si="51"/>
        <v>11</v>
      </c>
      <c r="AO76" s="9">
        <f t="shared" si="52"/>
        <v>9</v>
      </c>
      <c r="AP76" s="10">
        <f t="shared" si="53"/>
        <v>11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Alex Naumi</v>
      </c>
      <c r="F77" s="76" t="str">
        <f>IF(E61&gt;0,E61,0)</f>
        <v>Samuli Soine</v>
      </c>
      <c r="G77" s="8"/>
      <c r="H77" s="4"/>
      <c r="I77" s="413">
        <v>8</v>
      </c>
      <c r="J77" s="412"/>
      <c r="K77" s="413">
        <v>4</v>
      </c>
      <c r="L77" s="412"/>
      <c r="M77" s="399">
        <v>9</v>
      </c>
      <c r="N77" s="412"/>
      <c r="O77" s="399"/>
      <c r="P77" s="412"/>
      <c r="Q77" s="399"/>
      <c r="R77" s="400"/>
      <c r="S77" s="220">
        <f t="shared" si="44"/>
        <v>3</v>
      </c>
      <c r="T77" s="223">
        <f t="shared" si="45"/>
        <v>0</v>
      </c>
      <c r="U77" s="31">
        <f t="shared" si="56"/>
        <v>33</v>
      </c>
      <c r="V77" s="27">
        <f t="shared" si="56"/>
        <v>21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11</v>
      </c>
      <c r="AJ77" s="10">
        <f t="shared" si="47"/>
        <v>8</v>
      </c>
      <c r="AK77" s="9">
        <f t="shared" si="48"/>
        <v>11</v>
      </c>
      <c r="AL77" s="10">
        <f t="shared" si="49"/>
        <v>4</v>
      </c>
      <c r="AM77" s="9">
        <f t="shared" si="50"/>
        <v>11</v>
      </c>
      <c r="AN77" s="10">
        <f t="shared" si="51"/>
        <v>9</v>
      </c>
      <c r="AO77" s="9">
        <f t="shared" si="52"/>
        <v>0</v>
      </c>
      <c r="AP77" s="10">
        <f t="shared" si="53"/>
        <v>0</v>
      </c>
      <c r="AQ77" s="9">
        <f t="shared" si="54"/>
        <v>0</v>
      </c>
      <c r="AR77" s="10">
        <f t="shared" si="55"/>
        <v>0</v>
      </c>
    </row>
    <row r="78" spans="3:44" ht="15" thickBot="1">
      <c r="C78" s="56" t="s">
        <v>36</v>
      </c>
      <c r="D78" s="230"/>
      <c r="E78" s="84" t="str">
        <f>IF(E62&gt;0,E62,0)</f>
        <v>Jani Jormanainen</v>
      </c>
      <c r="F78" s="78" t="str">
        <f>IF(E63&gt;0,E63,0)</f>
        <v>Riku Autio</v>
      </c>
      <c r="G78" s="1"/>
      <c r="H78" s="28"/>
      <c r="I78" s="401">
        <v>9</v>
      </c>
      <c r="J78" s="403"/>
      <c r="K78" s="401">
        <v>4</v>
      </c>
      <c r="L78" s="403"/>
      <c r="M78" s="401">
        <v>9</v>
      </c>
      <c r="N78" s="403"/>
      <c r="O78" s="401"/>
      <c r="P78" s="403"/>
      <c r="Q78" s="401"/>
      <c r="R78" s="402"/>
      <c r="S78" s="221">
        <f t="shared" si="44"/>
        <v>3</v>
      </c>
      <c r="T78" s="224">
        <f t="shared" si="45"/>
        <v>0</v>
      </c>
      <c r="U78" s="184">
        <f t="shared" si="56"/>
        <v>33</v>
      </c>
      <c r="V78" s="185">
        <f t="shared" si="56"/>
        <v>22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11</v>
      </c>
      <c r="AJ78" s="12">
        <f t="shared" si="47"/>
        <v>9</v>
      </c>
      <c r="AK78" s="11">
        <f t="shared" si="48"/>
        <v>11</v>
      </c>
      <c r="AL78" s="12">
        <f t="shared" si="49"/>
        <v>4</v>
      </c>
      <c r="AM78" s="11">
        <f t="shared" si="50"/>
        <v>11</v>
      </c>
      <c r="AN78" s="12">
        <f t="shared" si="51"/>
        <v>9</v>
      </c>
      <c r="AO78" s="11">
        <f t="shared" si="52"/>
        <v>0</v>
      </c>
      <c r="AP78" s="12">
        <f t="shared" si="53"/>
        <v>0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Toni Soine</v>
      </c>
      <c r="F79" s="76" t="str">
        <f>IF(E60&gt;0,E60,0)</f>
        <v>Alex Naumi</v>
      </c>
      <c r="G79" s="3"/>
      <c r="H79" s="4"/>
      <c r="I79" s="404">
        <v>8</v>
      </c>
      <c r="J79" s="405"/>
      <c r="K79" s="404">
        <v>-8</v>
      </c>
      <c r="L79" s="405"/>
      <c r="M79" s="404">
        <v>-8</v>
      </c>
      <c r="N79" s="405"/>
      <c r="O79" s="404">
        <v>5</v>
      </c>
      <c r="P79" s="405"/>
      <c r="Q79" s="404">
        <v>-5</v>
      </c>
      <c r="R79" s="409"/>
      <c r="S79" s="219">
        <f t="shared" si="44"/>
        <v>2</v>
      </c>
      <c r="T79" s="222">
        <f t="shared" si="45"/>
        <v>3</v>
      </c>
      <c r="U79" s="186">
        <f t="shared" si="56"/>
        <v>43</v>
      </c>
      <c r="V79" s="187">
        <f t="shared" si="56"/>
        <v>46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11</v>
      </c>
      <c r="AJ79" s="7">
        <f t="shared" si="47"/>
        <v>8</v>
      </c>
      <c r="AK79" s="6">
        <f t="shared" si="48"/>
        <v>8</v>
      </c>
      <c r="AL79" s="7">
        <f t="shared" si="49"/>
        <v>11</v>
      </c>
      <c r="AM79" s="6">
        <f t="shared" si="50"/>
        <v>8</v>
      </c>
      <c r="AN79" s="7">
        <f t="shared" si="51"/>
        <v>11</v>
      </c>
      <c r="AO79" s="6">
        <f t="shared" si="52"/>
        <v>11</v>
      </c>
      <c r="AP79" s="7">
        <f t="shared" si="53"/>
        <v>5</v>
      </c>
      <c r="AQ79" s="6">
        <f t="shared" si="54"/>
        <v>5</v>
      </c>
      <c r="AR79" s="7">
        <f t="shared" si="55"/>
        <v>11</v>
      </c>
    </row>
    <row r="80" spans="3:44" ht="15" customHeight="1">
      <c r="C80" s="53" t="s">
        <v>26</v>
      </c>
      <c r="D80" s="229"/>
      <c r="E80" s="82" t="str">
        <f>IF(E61&gt;0,E61,0)</f>
        <v>Samuli Soine</v>
      </c>
      <c r="F80" s="76" t="str">
        <f>IF(E62&gt;0,E62,0)</f>
        <v>Jani Jormanainen</v>
      </c>
      <c r="G80" s="8"/>
      <c r="H80" s="4"/>
      <c r="I80" s="413">
        <v>6</v>
      </c>
      <c r="J80" s="412"/>
      <c r="K80" s="413">
        <v>-10</v>
      </c>
      <c r="L80" s="412"/>
      <c r="M80" s="399">
        <v>8</v>
      </c>
      <c r="N80" s="412"/>
      <c r="O80" s="399">
        <v>7</v>
      </c>
      <c r="P80" s="412"/>
      <c r="Q80" s="399"/>
      <c r="R80" s="400"/>
      <c r="S80" s="220">
        <f t="shared" si="44"/>
        <v>3</v>
      </c>
      <c r="T80" s="223">
        <f t="shared" si="45"/>
        <v>1</v>
      </c>
      <c r="U80" s="188">
        <f t="shared" si="56"/>
        <v>43</v>
      </c>
      <c r="V80" s="27">
        <f t="shared" si="56"/>
        <v>33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6</v>
      </c>
      <c r="AK80" s="9">
        <f t="shared" si="48"/>
        <v>10</v>
      </c>
      <c r="AL80" s="10">
        <f t="shared" si="49"/>
        <v>12</v>
      </c>
      <c r="AM80" s="9">
        <f t="shared" si="50"/>
        <v>11</v>
      </c>
      <c r="AN80" s="10">
        <f t="shared" si="51"/>
        <v>8</v>
      </c>
      <c r="AO80" s="9">
        <f t="shared" si="52"/>
        <v>11</v>
      </c>
      <c r="AP80" s="10">
        <f t="shared" si="53"/>
        <v>7</v>
      </c>
      <c r="AQ80" s="9">
        <f t="shared" si="54"/>
        <v>0</v>
      </c>
      <c r="AR80" s="10">
        <f t="shared" si="55"/>
        <v>0</v>
      </c>
    </row>
    <row r="81" spans="3:44" ht="15" thickBot="1">
      <c r="C81" s="56" t="s">
        <v>37</v>
      </c>
      <c r="D81" s="230"/>
      <c r="E81" s="89" t="str">
        <f>IF(E63&gt;0,E63,0)</f>
        <v>Riku Autio</v>
      </c>
      <c r="F81" s="90" t="str">
        <f>IF(E64&gt;0,E64,0)</f>
        <v>Mika Räsänen</v>
      </c>
      <c r="G81" s="1"/>
      <c r="H81" s="28"/>
      <c r="I81" s="401">
        <v>-8</v>
      </c>
      <c r="J81" s="403"/>
      <c r="K81" s="401">
        <v>-5</v>
      </c>
      <c r="L81" s="403"/>
      <c r="M81" s="401">
        <v>11</v>
      </c>
      <c r="N81" s="403"/>
      <c r="O81" s="401">
        <v>-5</v>
      </c>
      <c r="P81" s="403"/>
      <c r="Q81" s="401"/>
      <c r="R81" s="402"/>
      <c r="S81" s="221">
        <f t="shared" si="44"/>
        <v>1</v>
      </c>
      <c r="T81" s="224">
        <f t="shared" si="45"/>
        <v>3</v>
      </c>
      <c r="U81" s="158">
        <f t="shared" si="56"/>
        <v>31</v>
      </c>
      <c r="V81" s="159">
        <f t="shared" si="56"/>
        <v>44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8</v>
      </c>
      <c r="AJ81" s="10">
        <f t="shared" si="47"/>
        <v>11</v>
      </c>
      <c r="AK81" s="9">
        <f t="shared" si="48"/>
        <v>5</v>
      </c>
      <c r="AL81" s="10">
        <f t="shared" si="49"/>
        <v>11</v>
      </c>
      <c r="AM81" s="9">
        <f t="shared" si="50"/>
        <v>13</v>
      </c>
      <c r="AN81" s="10">
        <f t="shared" si="51"/>
        <v>11</v>
      </c>
      <c r="AO81" s="9">
        <f t="shared" si="52"/>
        <v>5</v>
      </c>
      <c r="AP81" s="10">
        <f t="shared" si="53"/>
        <v>11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84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">
      <c r="C84" s="34"/>
      <c r="D84" s="232"/>
      <c r="E84" s="85" t="str">
        <f>$E$5</f>
        <v>TOP-12 finaali</v>
      </c>
      <c r="F84" s="35"/>
      <c r="G84" s="35"/>
      <c r="H84" s="35"/>
      <c r="I84" s="36"/>
      <c r="J84" s="433"/>
      <c r="K84" s="434"/>
      <c r="L84" s="434"/>
      <c r="M84" s="155"/>
      <c r="N84" s="38"/>
      <c r="O84" s="38"/>
      <c r="P84" s="38"/>
      <c r="Q84" s="156" t="s">
        <v>0</v>
      </c>
      <c r="R84" s="157"/>
      <c r="S84" s="435" t="s">
        <v>43</v>
      </c>
      <c r="T84" s="435"/>
      <c r="U84" s="435"/>
      <c r="V84" s="435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5.75" thickBot="1">
      <c r="C85" s="99"/>
      <c r="D85" s="233"/>
      <c r="E85" s="140" t="str">
        <f>$E$6</f>
        <v>SPTL</v>
      </c>
      <c r="F85" s="100" t="s">
        <v>1</v>
      </c>
      <c r="G85" s="448"/>
      <c r="H85" s="449"/>
      <c r="I85" s="444"/>
      <c r="J85" s="450" t="s">
        <v>2</v>
      </c>
      <c r="K85" s="451"/>
      <c r="L85" s="451"/>
      <c r="M85" s="452" t="str">
        <f>$M$6</f>
        <v>14.12.2018</v>
      </c>
      <c r="N85" s="452"/>
      <c r="O85" s="452"/>
      <c r="P85" s="453"/>
      <c r="Q85" s="436" t="s">
        <v>3</v>
      </c>
      <c r="R85" s="437"/>
      <c r="S85" s="438" t="str">
        <f>$S$6</f>
        <v>11:00</v>
      </c>
      <c r="T85" s="439"/>
      <c r="U85" s="439"/>
      <c r="V85" s="440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" thickBot="1">
      <c r="B86" s="33"/>
      <c r="C86" s="43"/>
      <c r="D86" s="238"/>
      <c r="E86" s="317" t="s">
        <v>4</v>
      </c>
      <c r="F86" s="175" t="s">
        <v>5</v>
      </c>
      <c r="G86" s="454" t="s">
        <v>6</v>
      </c>
      <c r="H86" s="455"/>
      <c r="I86" s="454" t="s">
        <v>7</v>
      </c>
      <c r="J86" s="455"/>
      <c r="K86" s="454" t="s">
        <v>8</v>
      </c>
      <c r="L86" s="455"/>
      <c r="M86" s="454" t="s">
        <v>9</v>
      </c>
      <c r="N86" s="455"/>
      <c r="O86" s="456" t="s">
        <v>27</v>
      </c>
      <c r="P86" s="455"/>
      <c r="Q86" s="441" t="s">
        <v>28</v>
      </c>
      <c r="R86" s="442"/>
      <c r="S86" s="44" t="s">
        <v>10</v>
      </c>
      <c r="T86" s="45" t="s">
        <v>11</v>
      </c>
      <c r="U86" s="447" t="s">
        <v>69</v>
      </c>
      <c r="V86" s="442"/>
      <c r="W86" s="160" t="s">
        <v>12</v>
      </c>
      <c r="X86" s="365"/>
      <c r="Y86" s="330" t="s">
        <v>74</v>
      </c>
      <c r="Z86" s="300"/>
      <c r="AA86" s="300"/>
      <c r="AB86" s="300"/>
      <c r="AC86" s="368"/>
      <c r="AD86" s="369"/>
      <c r="AE86" s="337" t="s">
        <v>73</v>
      </c>
      <c r="AG86" s="197" t="s">
        <v>64</v>
      </c>
      <c r="AI86" s="330" t="s">
        <v>74</v>
      </c>
      <c r="AJ86" s="300"/>
      <c r="AK86" s="300"/>
      <c r="AL86" s="324"/>
      <c r="AO86" s="337" t="s">
        <v>73</v>
      </c>
      <c r="AQ86" s="466" t="s">
        <v>6</v>
      </c>
      <c r="AR86" s="467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90" t="s">
        <v>28</v>
      </c>
      <c r="BB86" s="491"/>
      <c r="BC86" s="261" t="s">
        <v>65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76</v>
      </c>
      <c r="BT86" s="341"/>
      <c r="BU86" s="325" t="s">
        <v>71</v>
      </c>
    </row>
    <row r="87" spans="2:73" ht="15">
      <c r="B87" s="33">
        <f aca="true" t="shared" si="57" ref="B87:B92">W87</f>
        <v>8</v>
      </c>
      <c r="C87" s="235">
        <v>1</v>
      </c>
      <c r="D87" s="314" t="s">
        <v>50</v>
      </c>
      <c r="E87" s="242" t="str">
        <f>VLOOKUP(3,$B$8:$F$11,4,FALSE)</f>
        <v>Matias Ojala</v>
      </c>
      <c r="F87" s="164" t="str">
        <f>VLOOKUP(3,$B$8:$F$11,5,FALSE)</f>
        <v>PT Espoo</v>
      </c>
      <c r="G87" s="168"/>
      <c r="H87" s="15"/>
      <c r="I87" s="16">
        <f>+S107</f>
        <v>2</v>
      </c>
      <c r="J87" s="17">
        <f>+T107</f>
        <v>3</v>
      </c>
      <c r="K87" s="171">
        <f>S101</f>
        <v>3</v>
      </c>
      <c r="L87" s="17">
        <f>T101</f>
        <v>1</v>
      </c>
      <c r="M87" s="171">
        <f>S98</f>
        <v>3</v>
      </c>
      <c r="N87" s="17">
        <f>T98</f>
        <v>1</v>
      </c>
      <c r="O87" s="171">
        <f>S95</f>
        <v>3</v>
      </c>
      <c r="P87" s="17">
        <f>T95</f>
        <v>1</v>
      </c>
      <c r="Q87" s="171">
        <f>S104</f>
        <v>3</v>
      </c>
      <c r="R87" s="17">
        <f>T104</f>
        <v>2</v>
      </c>
      <c r="S87" s="18">
        <f>IF(SUM(G87:R87)=0,0,COUNTIF(H87:H92,"3"))</f>
        <v>4</v>
      </c>
      <c r="T87" s="19">
        <f>IF(SUM(H87:S87)=0,0,COUNTIF(G87:G92,"3"))</f>
        <v>1</v>
      </c>
      <c r="U87" s="410">
        <f aca="true" t="shared" si="58" ref="U87:U92">+AE87</f>
        <v>9</v>
      </c>
      <c r="V87" s="411"/>
      <c r="W87" s="217">
        <v>8</v>
      </c>
      <c r="X87" s="366"/>
      <c r="Y87" s="331"/>
      <c r="Z87" s="250">
        <f>IF($S107=3,2,IF($W107=1,0,1))</f>
        <v>1</v>
      </c>
      <c r="AA87" s="250">
        <f>IF($S101=3,2,IF($W101=1,0,1))</f>
        <v>2</v>
      </c>
      <c r="AB87" s="250">
        <f>IF($S98=3,2,IF($W98=1,0,1))</f>
        <v>2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9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">
      <c r="B88" s="33">
        <f t="shared" si="57"/>
        <v>7</v>
      </c>
      <c r="C88" s="236">
        <v>2</v>
      </c>
      <c r="D88" s="314" t="s">
        <v>51</v>
      </c>
      <c r="E88" s="242" t="str">
        <f>VLOOKUP(3,$B$25:$F$28,4,FALSE)</f>
        <v>Roope Kantola</v>
      </c>
      <c r="F88" s="164" t="str">
        <f>VLOOKUP(3,$B$25:$F$28,5,FALSE)</f>
        <v>TuKa</v>
      </c>
      <c r="G88" s="169">
        <f>+T107</f>
        <v>3</v>
      </c>
      <c r="H88" s="21">
        <f>+S107</f>
        <v>2</v>
      </c>
      <c r="I88" s="22"/>
      <c r="J88" s="23"/>
      <c r="K88" s="169">
        <f>S105</f>
        <v>3</v>
      </c>
      <c r="L88" s="21">
        <f>T105</f>
        <v>2</v>
      </c>
      <c r="M88" s="169">
        <f>S96</f>
        <v>3</v>
      </c>
      <c r="N88" s="21">
        <f>T96</f>
        <v>0</v>
      </c>
      <c r="O88" s="171">
        <f>S102</f>
        <v>3</v>
      </c>
      <c r="P88" s="17">
        <f>T102</f>
        <v>0</v>
      </c>
      <c r="Q88" s="171">
        <f>S99</f>
        <v>1</v>
      </c>
      <c r="R88" s="17">
        <f>T99</f>
        <v>3</v>
      </c>
      <c r="S88" s="18">
        <f>IF(SUM(G88:R88)=0,0,COUNTIF(J87:J92,"3"))</f>
        <v>4</v>
      </c>
      <c r="T88" s="19">
        <f>IF(SUM(H88:S88)=0,0,COUNTIF(I87:I92,"3"))</f>
        <v>1</v>
      </c>
      <c r="U88" s="410">
        <f t="shared" si="58"/>
        <v>9</v>
      </c>
      <c r="V88" s="411"/>
      <c r="W88" s="217">
        <v>7</v>
      </c>
      <c r="X88" s="366"/>
      <c r="Y88" s="250">
        <f>IF($T107=3,2,IF($W107=1,0,1))</f>
        <v>2</v>
      </c>
      <c r="Z88" s="331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2</v>
      </c>
      <c r="AD88" s="250">
        <f>IF($S99=3,2,IF($W99=1,0,1))</f>
        <v>1</v>
      </c>
      <c r="AE88" s="332">
        <f t="shared" si="59"/>
        <v>9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">
      <c r="B89" s="33">
        <f t="shared" si="57"/>
        <v>9</v>
      </c>
      <c r="C89" s="236">
        <v>3</v>
      </c>
      <c r="D89" s="314" t="s">
        <v>52</v>
      </c>
      <c r="E89" s="242" t="str">
        <f>VLOOKUP(3,$B$42:$F$45,4,FALSE)</f>
        <v>Veikka Flemming</v>
      </c>
      <c r="F89" s="164" t="str">
        <f>VLOOKUP(3,$B$42:$F$45,5,FALSE)</f>
        <v>KoKa</v>
      </c>
      <c r="G89" s="169">
        <f>+T101</f>
        <v>1</v>
      </c>
      <c r="H89" s="21">
        <f>+S101</f>
        <v>3</v>
      </c>
      <c r="I89" s="20">
        <f>T105</f>
        <v>2</v>
      </c>
      <c r="J89" s="21">
        <f>S105</f>
        <v>3</v>
      </c>
      <c r="K89" s="172"/>
      <c r="L89" s="23"/>
      <c r="M89" s="169">
        <f>S108</f>
        <v>3</v>
      </c>
      <c r="N89" s="21">
        <f>T108</f>
        <v>0</v>
      </c>
      <c r="O89" s="171">
        <f>S100</f>
        <v>3</v>
      </c>
      <c r="P89" s="17">
        <f>T100</f>
        <v>0</v>
      </c>
      <c r="Q89" s="171">
        <f>S97</f>
        <v>3</v>
      </c>
      <c r="R89" s="17">
        <f>T97</f>
        <v>0</v>
      </c>
      <c r="S89" s="18">
        <f>IF(SUM(G89:R89)=0,0,COUNTIF(L87:L92,"3"))</f>
        <v>3</v>
      </c>
      <c r="T89" s="19">
        <f>IF(SUM(H89:S89)=0,0,COUNTIF(K87:K92,"3"))</f>
        <v>2</v>
      </c>
      <c r="U89" s="410">
        <f t="shared" si="58"/>
        <v>8</v>
      </c>
      <c r="V89" s="411"/>
      <c r="W89" s="217">
        <v>9</v>
      </c>
      <c r="X89" s="366"/>
      <c r="Y89" s="250">
        <f>IF($T101=3,2,IF($W101=1,0,1))</f>
        <v>1</v>
      </c>
      <c r="Z89" s="250">
        <f>IF($T105=3,2,IF($W105=1,0,1))</f>
        <v>1</v>
      </c>
      <c r="AA89" s="331"/>
      <c r="AB89" s="250">
        <f>IF($S108=3,2,IF($W108=1,0,1))</f>
        <v>2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8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">
      <c r="B90" s="33">
        <f t="shared" si="57"/>
        <v>12</v>
      </c>
      <c r="C90" s="236">
        <v>4</v>
      </c>
      <c r="D90" s="314" t="s">
        <v>53</v>
      </c>
      <c r="E90" s="242" t="str">
        <f>VLOOKUP(4,$B$25:$F$28,4,FALSE)</f>
        <v>Jussi Mäkelä</v>
      </c>
      <c r="F90" s="164" t="str">
        <f>VLOOKUP(4,$B$25:$F$28,5,FALSE)</f>
        <v>TIP-70</v>
      </c>
      <c r="G90" s="169">
        <f>T98</f>
        <v>1</v>
      </c>
      <c r="H90" s="21">
        <f>S98</f>
        <v>3</v>
      </c>
      <c r="I90" s="20">
        <f>T96</f>
        <v>0</v>
      </c>
      <c r="J90" s="21">
        <f>S96</f>
        <v>3</v>
      </c>
      <c r="K90" s="169">
        <f>T108</f>
        <v>0</v>
      </c>
      <c r="L90" s="21">
        <f>S108</f>
        <v>3</v>
      </c>
      <c r="M90" s="172"/>
      <c r="N90" s="23"/>
      <c r="O90" s="171">
        <f>S106</f>
        <v>0</v>
      </c>
      <c r="P90" s="17">
        <f>T106</f>
        <v>3</v>
      </c>
      <c r="Q90" s="171">
        <f>S103</f>
        <v>0</v>
      </c>
      <c r="R90" s="17">
        <f>T103</f>
        <v>3</v>
      </c>
      <c r="S90" s="18">
        <f>IF(SUM(G90:R90)=0,0,COUNTIF(N87:N92,"3"))</f>
        <v>0</v>
      </c>
      <c r="T90" s="19">
        <f>IF(SUM(H90:S90)=0,0,COUNTIF(M87:M92,"3"))</f>
        <v>5</v>
      </c>
      <c r="U90" s="410">
        <f t="shared" si="58"/>
        <v>5</v>
      </c>
      <c r="V90" s="411"/>
      <c r="W90" s="217">
        <v>12</v>
      </c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1</v>
      </c>
      <c r="AD90" s="250">
        <f>IF($S103=3,2,IF($W103=1,0,1))</f>
        <v>1</v>
      </c>
      <c r="AE90" s="332">
        <f t="shared" si="59"/>
        <v>5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">
      <c r="B91" s="33">
        <f t="shared" si="57"/>
        <v>10</v>
      </c>
      <c r="C91" s="236">
        <v>5</v>
      </c>
      <c r="D91" s="314" t="s">
        <v>54</v>
      </c>
      <c r="E91" s="242" t="str">
        <f>VLOOKUP(4,$B$8:$F$11,4,FALSE)</f>
        <v>Jorma Lahtinen</v>
      </c>
      <c r="F91" s="164" t="str">
        <f>VLOOKUP(4,$B$8:$F$11,5,FALSE)</f>
        <v>LPTS</v>
      </c>
      <c r="G91" s="169">
        <f>+T95</f>
        <v>1</v>
      </c>
      <c r="H91" s="21">
        <f>+S95</f>
        <v>3</v>
      </c>
      <c r="I91" s="20">
        <f>T102</f>
        <v>0</v>
      </c>
      <c r="J91" s="21">
        <f>S102</f>
        <v>3</v>
      </c>
      <c r="K91" s="169">
        <f>T100</f>
        <v>0</v>
      </c>
      <c r="L91" s="21">
        <f>S100</f>
        <v>3</v>
      </c>
      <c r="M91" s="169">
        <f>T106</f>
        <v>3</v>
      </c>
      <c r="N91" s="21">
        <f>S106</f>
        <v>0</v>
      </c>
      <c r="O91" s="173"/>
      <c r="P91" s="24"/>
      <c r="Q91" s="171">
        <f>S109</f>
        <v>3</v>
      </c>
      <c r="R91" s="25">
        <f>T109</f>
        <v>0</v>
      </c>
      <c r="S91" s="26">
        <f>IF(SUM(G91:R91)=0,0,COUNTIF(P87:P92,"3"))</f>
        <v>2</v>
      </c>
      <c r="T91" s="19">
        <f>IF(SUM(H91:S91)=0,0,COUNTIF(O87:O92,"3"))</f>
        <v>3</v>
      </c>
      <c r="U91" s="410">
        <f t="shared" si="58"/>
        <v>7</v>
      </c>
      <c r="V91" s="411"/>
      <c r="W91" s="217">
        <v>10</v>
      </c>
      <c r="X91" s="366"/>
      <c r="Y91" s="250">
        <f>IF($T95=3,2,IF($W95=1,0,1))</f>
        <v>1</v>
      </c>
      <c r="Z91" s="250">
        <f>IF($T102=3,2,IF($W102=1,0,1))</f>
        <v>1</v>
      </c>
      <c r="AA91" s="250">
        <f>IF($T100=3,2,IF($W100=1,0,1))</f>
        <v>1</v>
      </c>
      <c r="AB91" s="250">
        <f>IF($T106=3,2,IF($W106=1,0,1))</f>
        <v>2</v>
      </c>
      <c r="AC91" s="331"/>
      <c r="AD91" s="250">
        <f>IF($S109=3,2,IF($W109=1,0,1))</f>
        <v>2</v>
      </c>
      <c r="AE91" s="332">
        <f t="shared" si="59"/>
        <v>7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5.75" thickBot="1">
      <c r="B92" s="33">
        <f t="shared" si="57"/>
        <v>11</v>
      </c>
      <c r="C92" s="48">
        <v>6</v>
      </c>
      <c r="D92" s="316" t="s">
        <v>55</v>
      </c>
      <c r="E92" s="166" t="str">
        <f>VLOOKUP(4,$B$42:$F$45,4,FALSE)</f>
        <v>Aleksi Mustonen</v>
      </c>
      <c r="F92" s="165" t="str">
        <f>VLOOKUP(4,$B$42:$F$45,5,FALSE)</f>
        <v>TIP-70</v>
      </c>
      <c r="G92" s="170">
        <f>T104</f>
        <v>2</v>
      </c>
      <c r="H92" s="117">
        <f>S104</f>
        <v>3</v>
      </c>
      <c r="I92" s="112">
        <f>T99</f>
        <v>3</v>
      </c>
      <c r="J92" s="117">
        <f>S99</f>
        <v>1</v>
      </c>
      <c r="K92" s="170">
        <f>T97</f>
        <v>0</v>
      </c>
      <c r="L92" s="117">
        <f>S97</f>
        <v>3</v>
      </c>
      <c r="M92" s="170">
        <f>T103</f>
        <v>3</v>
      </c>
      <c r="N92" s="117">
        <f>S103</f>
        <v>0</v>
      </c>
      <c r="O92" s="170">
        <f>T109</f>
        <v>0</v>
      </c>
      <c r="P92" s="117">
        <f>S109</f>
        <v>3</v>
      </c>
      <c r="Q92" s="174"/>
      <c r="R92" s="167"/>
      <c r="S92" s="162">
        <f>IF(SUM(G92:R92)=0,0,COUNTIF(R87:R92,"3"))</f>
        <v>2</v>
      </c>
      <c r="T92" s="163">
        <f>IF(SUM(G92:R92)=0,0,COUNTIF(Q87:Q92,"3"))</f>
        <v>3</v>
      </c>
      <c r="U92" s="425">
        <f t="shared" si="58"/>
        <v>7</v>
      </c>
      <c r="V92" s="426"/>
      <c r="W92" s="218">
        <v>11</v>
      </c>
      <c r="X92" s="366"/>
      <c r="Y92" s="250">
        <f>IF($T104=3,2,IF($W104=1,0,1))</f>
        <v>1</v>
      </c>
      <c r="Z92" s="250">
        <f>IF($T99=3,2,IF($W99=1,0,1))</f>
        <v>2</v>
      </c>
      <c r="AA92" s="250">
        <f>IF($T97=3,2,IF($W97=1,0,1))</f>
        <v>1</v>
      </c>
      <c r="AB92" s="250">
        <f>IF($T103=3,2,IF($W103=1,0,1))</f>
        <v>2</v>
      </c>
      <c r="AC92" s="250">
        <f>IF($T109=3,2,IF($W109=1,0,1))</f>
        <v>1</v>
      </c>
      <c r="AD92" s="331"/>
      <c r="AE92" s="332">
        <f t="shared" si="59"/>
        <v>7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" thickBot="1">
      <c r="C94" s="48"/>
      <c r="D94" s="234"/>
      <c r="E94" s="66" t="s">
        <v>14</v>
      </c>
      <c r="F94" s="1"/>
      <c r="G94" s="1"/>
      <c r="H94" s="2"/>
      <c r="I94" s="429" t="s">
        <v>15</v>
      </c>
      <c r="J94" s="420"/>
      <c r="K94" s="419" t="s">
        <v>16</v>
      </c>
      <c r="L94" s="420"/>
      <c r="M94" s="419" t="s">
        <v>17</v>
      </c>
      <c r="N94" s="420"/>
      <c r="O94" s="419" t="s">
        <v>18</v>
      </c>
      <c r="P94" s="430"/>
      <c r="Q94" s="419" t="s">
        <v>19</v>
      </c>
      <c r="R94" s="420"/>
      <c r="S94" s="443" t="s">
        <v>20</v>
      </c>
      <c r="T94" s="444"/>
      <c r="U94" s="445" t="s">
        <v>13</v>
      </c>
      <c r="V94" s="446"/>
      <c r="W94" s="377" t="s">
        <v>70</v>
      </c>
      <c r="X94" s="250" t="s">
        <v>80</v>
      </c>
      <c r="Y94" s="250" t="s">
        <v>81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Matias Ojala</v>
      </c>
      <c r="F95" s="76" t="str">
        <f>IF(E91&gt;0,E91,0)</f>
        <v>Jorma Lahtinen</v>
      </c>
      <c r="G95" s="3"/>
      <c r="H95" s="4"/>
      <c r="I95" s="427">
        <v>-11</v>
      </c>
      <c r="J95" s="431"/>
      <c r="K95" s="427">
        <v>9</v>
      </c>
      <c r="L95" s="431"/>
      <c r="M95" s="432">
        <v>3</v>
      </c>
      <c r="N95" s="431"/>
      <c r="O95" s="427">
        <v>11</v>
      </c>
      <c r="P95" s="431"/>
      <c r="Q95" s="427"/>
      <c r="R95" s="428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1</v>
      </c>
      <c r="U95" s="179">
        <f>+AI95+AK95+AM95+AO95+AQ95</f>
        <v>46</v>
      </c>
      <c r="V95" s="180">
        <f>+AJ95+AL95+AN95+AP95+AR95</f>
        <v>36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13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9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3</v>
      </c>
      <c r="AO95" s="6">
        <f aca="true" t="shared" si="73" ref="AO95:AO109">IF(O95="",0,IF(LEFT(O95,1)="-",ABS(O95),(IF(O95&gt;9,O95+2,11))))</f>
        <v>13</v>
      </c>
      <c r="AP95" s="7">
        <f aca="true" t="shared" si="74" ref="AP95:AP109">IF(O95="",0,IF(LEFT(O95,1)="-",(IF(ABS(O95)&gt;9,(ABS(O95)+2),11)),O95))</f>
        <v>11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Roope Kantola</v>
      </c>
      <c r="F96" s="76" t="str">
        <f>IF(E90&gt;0,E90,0)</f>
        <v>Jussi Mäkelä</v>
      </c>
      <c r="G96" s="8"/>
      <c r="H96" s="4"/>
      <c r="I96" s="417">
        <v>3</v>
      </c>
      <c r="J96" s="418"/>
      <c r="K96" s="417">
        <v>6</v>
      </c>
      <c r="L96" s="418"/>
      <c r="M96" s="417">
        <v>7</v>
      </c>
      <c r="N96" s="418"/>
      <c r="O96" s="417"/>
      <c r="P96" s="418"/>
      <c r="Q96" s="417"/>
      <c r="R96" s="421"/>
      <c r="S96" s="220">
        <f t="shared" si="65"/>
        <v>3</v>
      </c>
      <c r="T96" s="223">
        <f t="shared" si="66"/>
        <v>0</v>
      </c>
      <c r="U96" s="181">
        <f aca="true" t="shared" si="77" ref="U96:V109">+AI96+AK96+AM96+AO96+AQ96</f>
        <v>33</v>
      </c>
      <c r="V96" s="27">
        <f t="shared" si="77"/>
        <v>16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11</v>
      </c>
      <c r="AJ96" s="10">
        <f t="shared" si="68"/>
        <v>3</v>
      </c>
      <c r="AK96" s="9">
        <f t="shared" si="69"/>
        <v>11</v>
      </c>
      <c r="AL96" s="10">
        <f t="shared" si="70"/>
        <v>6</v>
      </c>
      <c r="AM96" s="9">
        <f t="shared" si="71"/>
        <v>11</v>
      </c>
      <c r="AN96" s="10">
        <f t="shared" si="72"/>
        <v>7</v>
      </c>
      <c r="AO96" s="9">
        <f t="shared" si="73"/>
        <v>0</v>
      </c>
      <c r="AP96" s="10">
        <f t="shared" si="74"/>
        <v>0</v>
      </c>
      <c r="AQ96" s="9">
        <f t="shared" si="75"/>
        <v>0</v>
      </c>
      <c r="AR96" s="10">
        <f t="shared" si="76"/>
        <v>0</v>
      </c>
    </row>
    <row r="97" spans="3:44" ht="15" thickBot="1">
      <c r="C97" s="56" t="s">
        <v>30</v>
      </c>
      <c r="D97" s="230"/>
      <c r="E97" s="84" t="str">
        <f>IF(E89&gt;0,E89,0)</f>
        <v>Veikka Flemming</v>
      </c>
      <c r="F97" s="78" t="str">
        <f>IF(E92&gt;0,E92,0)</f>
        <v>Aleksi Mustonen</v>
      </c>
      <c r="G97" s="1"/>
      <c r="H97" s="28"/>
      <c r="I97" s="422">
        <v>10</v>
      </c>
      <c r="J97" s="423"/>
      <c r="K97" s="422">
        <v>10</v>
      </c>
      <c r="L97" s="423"/>
      <c r="M97" s="422">
        <v>8</v>
      </c>
      <c r="N97" s="423"/>
      <c r="O97" s="422"/>
      <c r="P97" s="423"/>
      <c r="Q97" s="422"/>
      <c r="R97" s="424"/>
      <c r="S97" s="221">
        <f t="shared" si="65"/>
        <v>3</v>
      </c>
      <c r="T97" s="224">
        <f t="shared" si="66"/>
        <v>0</v>
      </c>
      <c r="U97" s="182">
        <f t="shared" si="77"/>
        <v>35</v>
      </c>
      <c r="V97" s="183">
        <f t="shared" si="77"/>
        <v>28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12</v>
      </c>
      <c r="AJ97" s="10">
        <f t="shared" si="68"/>
        <v>10</v>
      </c>
      <c r="AK97" s="9">
        <f t="shared" si="69"/>
        <v>12</v>
      </c>
      <c r="AL97" s="10">
        <f t="shared" si="70"/>
        <v>10</v>
      </c>
      <c r="AM97" s="9">
        <f t="shared" si="71"/>
        <v>11</v>
      </c>
      <c r="AN97" s="10">
        <f t="shared" si="72"/>
        <v>8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Matias Ojala</v>
      </c>
      <c r="F98" s="76" t="str">
        <f>IF(E90&gt;0,E90,0)</f>
        <v>Jussi Mäkelä</v>
      </c>
      <c r="G98" s="3"/>
      <c r="H98" s="4"/>
      <c r="I98" s="404">
        <v>6</v>
      </c>
      <c r="J98" s="405"/>
      <c r="K98" s="404">
        <v>-7</v>
      </c>
      <c r="L98" s="405"/>
      <c r="M98" s="404">
        <v>6</v>
      </c>
      <c r="N98" s="405"/>
      <c r="O98" s="404">
        <v>4</v>
      </c>
      <c r="P98" s="405"/>
      <c r="Q98" s="404"/>
      <c r="R98" s="409"/>
      <c r="S98" s="219">
        <f t="shared" si="65"/>
        <v>3</v>
      </c>
      <c r="T98" s="222">
        <f t="shared" si="66"/>
        <v>1</v>
      </c>
      <c r="U98" s="177">
        <f t="shared" si="77"/>
        <v>40</v>
      </c>
      <c r="V98" s="178">
        <f t="shared" si="77"/>
        <v>27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11</v>
      </c>
      <c r="AJ98" s="10">
        <f t="shared" si="68"/>
        <v>6</v>
      </c>
      <c r="AK98" s="9">
        <f t="shared" si="69"/>
        <v>7</v>
      </c>
      <c r="AL98" s="10">
        <f t="shared" si="70"/>
        <v>11</v>
      </c>
      <c r="AM98" s="9">
        <f t="shared" si="71"/>
        <v>11</v>
      </c>
      <c r="AN98" s="10">
        <f t="shared" si="72"/>
        <v>6</v>
      </c>
      <c r="AO98" s="9">
        <f t="shared" si="73"/>
        <v>11</v>
      </c>
      <c r="AP98" s="10">
        <f t="shared" si="74"/>
        <v>4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Roope Kantola</v>
      </c>
      <c r="F99" s="76" t="str">
        <f>IF(E92&gt;0,E92,0)</f>
        <v>Aleksi Mustonen</v>
      </c>
      <c r="G99" s="8"/>
      <c r="H99" s="4"/>
      <c r="I99" s="414">
        <v>2</v>
      </c>
      <c r="J99" s="415"/>
      <c r="K99" s="414">
        <v>-9</v>
      </c>
      <c r="L99" s="415"/>
      <c r="M99" s="414">
        <v>-7</v>
      </c>
      <c r="N99" s="415"/>
      <c r="O99" s="399">
        <v>-4</v>
      </c>
      <c r="P99" s="412"/>
      <c r="Q99" s="399"/>
      <c r="R99" s="400"/>
      <c r="S99" s="220">
        <f t="shared" si="65"/>
        <v>1</v>
      </c>
      <c r="T99" s="223">
        <f t="shared" si="66"/>
        <v>3</v>
      </c>
      <c r="U99" s="31">
        <f t="shared" si="77"/>
        <v>31</v>
      </c>
      <c r="V99" s="27">
        <f t="shared" si="77"/>
        <v>35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2</v>
      </c>
      <c r="AK99" s="9">
        <f t="shared" si="69"/>
        <v>9</v>
      </c>
      <c r="AL99" s="10">
        <f t="shared" si="70"/>
        <v>11</v>
      </c>
      <c r="AM99" s="9">
        <f t="shared" si="71"/>
        <v>7</v>
      </c>
      <c r="AN99" s="10">
        <f t="shared" si="72"/>
        <v>11</v>
      </c>
      <c r="AO99" s="9">
        <f t="shared" si="73"/>
        <v>4</v>
      </c>
      <c r="AP99" s="10">
        <f t="shared" si="74"/>
        <v>11</v>
      </c>
      <c r="AQ99" s="9">
        <f t="shared" si="75"/>
        <v>0</v>
      </c>
      <c r="AR99" s="10">
        <f t="shared" si="76"/>
        <v>0</v>
      </c>
    </row>
    <row r="100" spans="3:44" ht="15" thickBot="1">
      <c r="C100" s="56" t="s">
        <v>32</v>
      </c>
      <c r="D100" s="230"/>
      <c r="E100" s="84" t="str">
        <f>IF(E89&gt;0,E89,0)</f>
        <v>Veikka Flemming</v>
      </c>
      <c r="F100" s="78" t="str">
        <f>IF(E91&gt;0,E91,0)</f>
        <v>Jorma Lahtinen</v>
      </c>
      <c r="G100" s="1"/>
      <c r="H100" s="28"/>
      <c r="I100" s="416">
        <v>6</v>
      </c>
      <c r="J100" s="403"/>
      <c r="K100" s="416">
        <v>9</v>
      </c>
      <c r="L100" s="403"/>
      <c r="M100" s="416">
        <v>13</v>
      </c>
      <c r="N100" s="403"/>
      <c r="O100" s="401"/>
      <c r="P100" s="403"/>
      <c r="Q100" s="401"/>
      <c r="R100" s="402"/>
      <c r="S100" s="221">
        <f t="shared" si="65"/>
        <v>3</v>
      </c>
      <c r="T100" s="224">
        <f t="shared" si="66"/>
        <v>0</v>
      </c>
      <c r="U100" s="184">
        <f t="shared" si="77"/>
        <v>37</v>
      </c>
      <c r="V100" s="185">
        <f t="shared" si="77"/>
        <v>28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11</v>
      </c>
      <c r="AJ100" s="12">
        <f t="shared" si="68"/>
        <v>6</v>
      </c>
      <c r="AK100" s="11">
        <f t="shared" si="69"/>
        <v>11</v>
      </c>
      <c r="AL100" s="12">
        <f t="shared" si="70"/>
        <v>9</v>
      </c>
      <c r="AM100" s="11">
        <f t="shared" si="71"/>
        <v>15</v>
      </c>
      <c r="AN100" s="12">
        <f t="shared" si="72"/>
        <v>13</v>
      </c>
      <c r="AO100" s="11">
        <f t="shared" si="73"/>
        <v>0</v>
      </c>
      <c r="AP100" s="12">
        <f t="shared" si="74"/>
        <v>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Matias Ojala</v>
      </c>
      <c r="F101" s="76" t="str">
        <f>IF(E89&gt;0,E89,0)</f>
        <v>Veikka Flemming</v>
      </c>
      <c r="G101" s="3"/>
      <c r="H101" s="4"/>
      <c r="I101" s="404">
        <v>9</v>
      </c>
      <c r="J101" s="405"/>
      <c r="K101" s="404">
        <v>10</v>
      </c>
      <c r="L101" s="405"/>
      <c r="M101" s="404">
        <v>-7</v>
      </c>
      <c r="N101" s="405"/>
      <c r="O101" s="404">
        <v>9</v>
      </c>
      <c r="P101" s="405"/>
      <c r="Q101" s="404"/>
      <c r="R101" s="409"/>
      <c r="S101" s="219">
        <f t="shared" si="65"/>
        <v>3</v>
      </c>
      <c r="T101" s="222">
        <f t="shared" si="66"/>
        <v>1</v>
      </c>
      <c r="U101" s="179">
        <f t="shared" si="77"/>
        <v>41</v>
      </c>
      <c r="V101" s="180">
        <f t="shared" si="77"/>
        <v>39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11</v>
      </c>
      <c r="AJ101" s="7">
        <f t="shared" si="68"/>
        <v>9</v>
      </c>
      <c r="AK101" s="6">
        <f t="shared" si="69"/>
        <v>12</v>
      </c>
      <c r="AL101" s="7">
        <f t="shared" si="70"/>
        <v>10</v>
      </c>
      <c r="AM101" s="6">
        <f t="shared" si="71"/>
        <v>7</v>
      </c>
      <c r="AN101" s="7">
        <f t="shared" si="72"/>
        <v>11</v>
      </c>
      <c r="AO101" s="6">
        <f t="shared" si="73"/>
        <v>11</v>
      </c>
      <c r="AP101" s="7">
        <f t="shared" si="74"/>
        <v>9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Roope Kantola</v>
      </c>
      <c r="F102" s="76" t="str">
        <f>IF(E91&gt;0,E91,0)</f>
        <v>Jorma Lahtinen</v>
      </c>
      <c r="G102" s="8"/>
      <c r="H102" s="4"/>
      <c r="I102" s="414">
        <v>2</v>
      </c>
      <c r="J102" s="415"/>
      <c r="K102" s="414">
        <v>4</v>
      </c>
      <c r="L102" s="415"/>
      <c r="M102" s="414">
        <v>9</v>
      </c>
      <c r="N102" s="415"/>
      <c r="O102" s="399"/>
      <c r="P102" s="412"/>
      <c r="Q102" s="399"/>
      <c r="R102" s="400"/>
      <c r="S102" s="220">
        <f t="shared" si="65"/>
        <v>3</v>
      </c>
      <c r="T102" s="223">
        <f t="shared" si="66"/>
        <v>0</v>
      </c>
      <c r="U102" s="181">
        <f t="shared" si="77"/>
        <v>33</v>
      </c>
      <c r="V102" s="27">
        <f t="shared" si="77"/>
        <v>15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11</v>
      </c>
      <c r="AJ102" s="10">
        <f t="shared" si="68"/>
        <v>2</v>
      </c>
      <c r="AK102" s="9">
        <f t="shared" si="69"/>
        <v>11</v>
      </c>
      <c r="AL102" s="10">
        <f t="shared" si="70"/>
        <v>4</v>
      </c>
      <c r="AM102" s="9">
        <f t="shared" si="71"/>
        <v>11</v>
      </c>
      <c r="AN102" s="10">
        <f t="shared" si="72"/>
        <v>9</v>
      </c>
      <c r="AO102" s="9">
        <f t="shared" si="73"/>
        <v>0</v>
      </c>
      <c r="AP102" s="10">
        <f t="shared" si="74"/>
        <v>0</v>
      </c>
      <c r="AQ102" s="9">
        <f t="shared" si="75"/>
        <v>0</v>
      </c>
      <c r="AR102" s="10">
        <f t="shared" si="76"/>
        <v>0</v>
      </c>
    </row>
    <row r="103" spans="3:44" ht="15" thickBot="1">
      <c r="C103" s="56" t="s">
        <v>34</v>
      </c>
      <c r="D103" s="230"/>
      <c r="E103" s="84" t="str">
        <f>IF(E90&gt;0,E90,0)</f>
        <v>Jussi Mäkelä</v>
      </c>
      <c r="F103" s="78" t="str">
        <f>IF(E92&gt;0,E92,0)</f>
        <v>Aleksi Mustonen</v>
      </c>
      <c r="G103" s="1"/>
      <c r="H103" s="28"/>
      <c r="I103" s="401">
        <v>-6</v>
      </c>
      <c r="J103" s="403"/>
      <c r="K103" s="401">
        <v>-9</v>
      </c>
      <c r="L103" s="403"/>
      <c r="M103" s="401">
        <v>-9</v>
      </c>
      <c r="N103" s="403"/>
      <c r="O103" s="401"/>
      <c r="P103" s="403"/>
      <c r="Q103" s="401"/>
      <c r="R103" s="402"/>
      <c r="S103" s="221">
        <f t="shared" si="65"/>
        <v>0</v>
      </c>
      <c r="T103" s="224">
        <f t="shared" si="66"/>
        <v>3</v>
      </c>
      <c r="U103" s="182">
        <f t="shared" si="77"/>
        <v>24</v>
      </c>
      <c r="V103" s="183">
        <f t="shared" si="77"/>
        <v>33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6</v>
      </c>
      <c r="AJ103" s="10">
        <f t="shared" si="68"/>
        <v>11</v>
      </c>
      <c r="AK103" s="9">
        <f t="shared" si="69"/>
        <v>9</v>
      </c>
      <c r="AL103" s="10">
        <f t="shared" si="70"/>
        <v>11</v>
      </c>
      <c r="AM103" s="9">
        <f t="shared" si="71"/>
        <v>9</v>
      </c>
      <c r="AN103" s="10">
        <f t="shared" si="72"/>
        <v>11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Matias Ojala</v>
      </c>
      <c r="F104" s="76" t="str">
        <f>IF(E92&gt;0,E92,0)</f>
        <v>Aleksi Mustonen</v>
      </c>
      <c r="G104" s="3"/>
      <c r="H104" s="4"/>
      <c r="I104" s="404">
        <v>10</v>
      </c>
      <c r="J104" s="405"/>
      <c r="K104" s="404">
        <v>-6</v>
      </c>
      <c r="L104" s="405"/>
      <c r="M104" s="404">
        <v>10</v>
      </c>
      <c r="N104" s="405"/>
      <c r="O104" s="404">
        <v>-9</v>
      </c>
      <c r="P104" s="405"/>
      <c r="Q104" s="404">
        <v>11</v>
      </c>
      <c r="R104" s="409"/>
      <c r="S104" s="219">
        <f t="shared" si="65"/>
        <v>3</v>
      </c>
      <c r="T104" s="222">
        <f t="shared" si="66"/>
        <v>2</v>
      </c>
      <c r="U104" s="177">
        <f t="shared" si="77"/>
        <v>52</v>
      </c>
      <c r="V104" s="178">
        <f t="shared" si="77"/>
        <v>53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12</v>
      </c>
      <c r="AJ104" s="10">
        <f t="shared" si="68"/>
        <v>10</v>
      </c>
      <c r="AK104" s="9">
        <f t="shared" si="69"/>
        <v>6</v>
      </c>
      <c r="AL104" s="10">
        <f t="shared" si="70"/>
        <v>11</v>
      </c>
      <c r="AM104" s="9">
        <f t="shared" si="71"/>
        <v>12</v>
      </c>
      <c r="AN104" s="10">
        <f t="shared" si="72"/>
        <v>10</v>
      </c>
      <c r="AO104" s="9">
        <f t="shared" si="73"/>
        <v>9</v>
      </c>
      <c r="AP104" s="10">
        <f t="shared" si="74"/>
        <v>11</v>
      </c>
      <c r="AQ104" s="9">
        <f t="shared" si="75"/>
        <v>13</v>
      </c>
      <c r="AR104" s="10">
        <f t="shared" si="76"/>
        <v>11</v>
      </c>
    </row>
    <row r="105" spans="3:44" ht="15">
      <c r="C105" s="53" t="s">
        <v>24</v>
      </c>
      <c r="D105" s="229"/>
      <c r="E105" s="82" t="str">
        <f>IF(E88&gt;0,E88,0)</f>
        <v>Roope Kantola</v>
      </c>
      <c r="F105" s="76" t="str">
        <f>IF(E89&gt;0,E89,0)</f>
        <v>Veikka Flemming</v>
      </c>
      <c r="G105" s="8"/>
      <c r="H105" s="4"/>
      <c r="I105" s="413">
        <v>6</v>
      </c>
      <c r="J105" s="412"/>
      <c r="K105" s="413">
        <v>-3</v>
      </c>
      <c r="L105" s="412"/>
      <c r="M105" s="399">
        <v>8</v>
      </c>
      <c r="N105" s="412"/>
      <c r="O105" s="399">
        <v>-5</v>
      </c>
      <c r="P105" s="412"/>
      <c r="Q105" s="399">
        <v>10</v>
      </c>
      <c r="R105" s="400"/>
      <c r="S105" s="220">
        <f t="shared" si="65"/>
        <v>3</v>
      </c>
      <c r="T105" s="223">
        <f t="shared" si="66"/>
        <v>2</v>
      </c>
      <c r="U105" s="31">
        <f t="shared" si="77"/>
        <v>42</v>
      </c>
      <c r="V105" s="27">
        <f t="shared" si="77"/>
        <v>46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11</v>
      </c>
      <c r="AJ105" s="10">
        <f t="shared" si="68"/>
        <v>6</v>
      </c>
      <c r="AK105" s="9">
        <f t="shared" si="69"/>
        <v>3</v>
      </c>
      <c r="AL105" s="10">
        <f t="shared" si="70"/>
        <v>11</v>
      </c>
      <c r="AM105" s="9">
        <f t="shared" si="71"/>
        <v>11</v>
      </c>
      <c r="AN105" s="10">
        <f t="shared" si="72"/>
        <v>8</v>
      </c>
      <c r="AO105" s="9">
        <f t="shared" si="73"/>
        <v>5</v>
      </c>
      <c r="AP105" s="10">
        <f t="shared" si="74"/>
        <v>11</v>
      </c>
      <c r="AQ105" s="9">
        <f t="shared" si="75"/>
        <v>12</v>
      </c>
      <c r="AR105" s="10">
        <f t="shared" si="76"/>
        <v>10</v>
      </c>
    </row>
    <row r="106" spans="3:44" ht="15" thickBot="1">
      <c r="C106" s="56" t="s">
        <v>36</v>
      </c>
      <c r="D106" s="230"/>
      <c r="E106" s="84" t="str">
        <f>IF(E90&gt;0,E90,0)</f>
        <v>Jussi Mäkelä</v>
      </c>
      <c r="F106" s="78" t="str">
        <f>IF(E91&gt;0,E91,0)</f>
        <v>Jorma Lahtinen</v>
      </c>
      <c r="G106" s="1"/>
      <c r="H106" s="28"/>
      <c r="I106" s="401">
        <v>-7</v>
      </c>
      <c r="J106" s="403"/>
      <c r="K106" s="401">
        <v>-5</v>
      </c>
      <c r="L106" s="403"/>
      <c r="M106" s="401">
        <v>-9</v>
      </c>
      <c r="N106" s="403"/>
      <c r="O106" s="401"/>
      <c r="P106" s="403"/>
      <c r="Q106" s="401"/>
      <c r="R106" s="402"/>
      <c r="S106" s="221">
        <f t="shared" si="65"/>
        <v>0</v>
      </c>
      <c r="T106" s="224">
        <f t="shared" si="66"/>
        <v>3</v>
      </c>
      <c r="U106" s="184">
        <f t="shared" si="77"/>
        <v>21</v>
      </c>
      <c r="V106" s="185">
        <f t="shared" si="77"/>
        <v>33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7</v>
      </c>
      <c r="AJ106" s="12">
        <f t="shared" si="68"/>
        <v>11</v>
      </c>
      <c r="AK106" s="11">
        <f t="shared" si="69"/>
        <v>5</v>
      </c>
      <c r="AL106" s="12">
        <f t="shared" si="70"/>
        <v>11</v>
      </c>
      <c r="AM106" s="11">
        <f t="shared" si="71"/>
        <v>9</v>
      </c>
      <c r="AN106" s="12">
        <f t="shared" si="72"/>
        <v>11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Matias Ojala</v>
      </c>
      <c r="F107" s="76" t="str">
        <f>IF(E88&gt;0,E88,0)</f>
        <v>Roope Kantola</v>
      </c>
      <c r="G107" s="3"/>
      <c r="H107" s="4"/>
      <c r="I107" s="404">
        <v>10</v>
      </c>
      <c r="J107" s="405"/>
      <c r="K107" s="404">
        <v>-5</v>
      </c>
      <c r="L107" s="405"/>
      <c r="M107" s="406">
        <v>9</v>
      </c>
      <c r="N107" s="405"/>
      <c r="O107" s="404">
        <v>-7</v>
      </c>
      <c r="P107" s="405"/>
      <c r="Q107" s="404">
        <v>-7</v>
      </c>
      <c r="R107" s="409"/>
      <c r="S107" s="219">
        <f t="shared" si="65"/>
        <v>2</v>
      </c>
      <c r="T107" s="222">
        <f t="shared" si="66"/>
        <v>3</v>
      </c>
      <c r="U107" s="179">
        <f t="shared" si="77"/>
        <v>42</v>
      </c>
      <c r="V107" s="180">
        <f t="shared" si="77"/>
        <v>52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12</v>
      </c>
      <c r="AJ107" s="7">
        <f t="shared" si="68"/>
        <v>10</v>
      </c>
      <c r="AK107" s="6">
        <f t="shared" si="69"/>
        <v>5</v>
      </c>
      <c r="AL107" s="7">
        <f t="shared" si="70"/>
        <v>11</v>
      </c>
      <c r="AM107" s="6">
        <f t="shared" si="71"/>
        <v>11</v>
      </c>
      <c r="AN107" s="7">
        <f t="shared" si="72"/>
        <v>9</v>
      </c>
      <c r="AO107" s="6">
        <f t="shared" si="73"/>
        <v>7</v>
      </c>
      <c r="AP107" s="7">
        <f t="shared" si="74"/>
        <v>11</v>
      </c>
      <c r="AQ107" s="6">
        <f t="shared" si="75"/>
        <v>7</v>
      </c>
      <c r="AR107" s="7">
        <f t="shared" si="76"/>
        <v>11</v>
      </c>
    </row>
    <row r="108" spans="3:44" ht="15">
      <c r="C108" s="53" t="s">
        <v>26</v>
      </c>
      <c r="D108" s="229"/>
      <c r="E108" s="82" t="str">
        <f>IF(E89&gt;0,E89,0)</f>
        <v>Veikka Flemming</v>
      </c>
      <c r="F108" s="76" t="str">
        <f>IF(E90&gt;0,E90,0)</f>
        <v>Jussi Mäkelä</v>
      </c>
      <c r="G108" s="8"/>
      <c r="H108" s="4"/>
      <c r="I108" s="399">
        <v>8</v>
      </c>
      <c r="J108" s="412"/>
      <c r="K108" s="399">
        <v>2</v>
      </c>
      <c r="L108" s="412"/>
      <c r="M108" s="399">
        <v>6</v>
      </c>
      <c r="N108" s="412"/>
      <c r="O108" s="399"/>
      <c r="P108" s="412"/>
      <c r="Q108" s="399"/>
      <c r="R108" s="400"/>
      <c r="S108" s="220">
        <f t="shared" si="65"/>
        <v>3</v>
      </c>
      <c r="T108" s="223">
        <f t="shared" si="66"/>
        <v>0</v>
      </c>
      <c r="U108" s="31">
        <f t="shared" si="77"/>
        <v>33</v>
      </c>
      <c r="V108" s="27">
        <f t="shared" si="77"/>
        <v>16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11</v>
      </c>
      <c r="AJ108" s="10">
        <f t="shared" si="68"/>
        <v>8</v>
      </c>
      <c r="AK108" s="9">
        <f t="shared" si="69"/>
        <v>11</v>
      </c>
      <c r="AL108" s="10">
        <f t="shared" si="70"/>
        <v>2</v>
      </c>
      <c r="AM108" s="9">
        <f t="shared" si="71"/>
        <v>11</v>
      </c>
      <c r="AN108" s="10">
        <f t="shared" si="72"/>
        <v>6</v>
      </c>
      <c r="AO108" s="9">
        <f t="shared" si="73"/>
        <v>0</v>
      </c>
      <c r="AP108" s="10">
        <f t="shared" si="74"/>
        <v>0</v>
      </c>
      <c r="AQ108" s="9">
        <f t="shared" si="75"/>
        <v>0</v>
      </c>
      <c r="AR108" s="10">
        <f t="shared" si="76"/>
        <v>0</v>
      </c>
    </row>
    <row r="109" spans="3:44" ht="15" thickBot="1">
      <c r="C109" s="56" t="s">
        <v>37</v>
      </c>
      <c r="D109" s="230"/>
      <c r="E109" s="89" t="str">
        <f>IF(E91&gt;0,E91,0)</f>
        <v>Jorma Lahtinen</v>
      </c>
      <c r="F109" s="90" t="str">
        <f>IF(E92&gt;0,E92,0)</f>
        <v>Aleksi Mustonen</v>
      </c>
      <c r="G109" s="1"/>
      <c r="H109" s="28"/>
      <c r="I109" s="401">
        <v>8</v>
      </c>
      <c r="J109" s="403"/>
      <c r="K109" s="401">
        <v>9</v>
      </c>
      <c r="L109" s="403"/>
      <c r="M109" s="401">
        <v>4</v>
      </c>
      <c r="N109" s="403"/>
      <c r="O109" s="401"/>
      <c r="P109" s="403"/>
      <c r="Q109" s="401"/>
      <c r="R109" s="402"/>
      <c r="S109" s="221">
        <f t="shared" si="65"/>
        <v>3</v>
      </c>
      <c r="T109" s="224">
        <f t="shared" si="66"/>
        <v>0</v>
      </c>
      <c r="U109" s="158">
        <f t="shared" si="77"/>
        <v>33</v>
      </c>
      <c r="V109" s="159">
        <f t="shared" si="77"/>
        <v>21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11</v>
      </c>
      <c r="AJ109" s="10">
        <f t="shared" si="68"/>
        <v>8</v>
      </c>
      <c r="AK109" s="9">
        <f t="shared" si="69"/>
        <v>11</v>
      </c>
      <c r="AL109" s="10">
        <f t="shared" si="70"/>
        <v>9</v>
      </c>
      <c r="AM109" s="9">
        <f t="shared" si="71"/>
        <v>11</v>
      </c>
      <c r="AN109" s="10">
        <f t="shared" si="72"/>
        <v>4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">
      <c r="C111" s="190" t="s">
        <v>62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Samuli Soine</v>
      </c>
      <c r="F113" s="242" t="str">
        <f>VLOOKUP(1,$B$59:$F$64,5,FALSE)</f>
        <v>TIP-70</v>
      </c>
    </row>
    <row r="114" spans="3:38" ht="15">
      <c r="C114">
        <v>2</v>
      </c>
      <c r="E114" s="242" t="str">
        <f>VLOOKUP(2,$B$59:$F$64,4,FALSE)</f>
        <v>Mika Räsänen</v>
      </c>
      <c r="F114" s="242" t="str">
        <f>VLOOKUP(2,$B$59:$F$64,5,FALSE)</f>
        <v>PT Espoo</v>
      </c>
      <c r="AL114" s="247" t="s">
        <v>106</v>
      </c>
    </row>
    <row r="115" spans="3:6" ht="15">
      <c r="C115">
        <v>3</v>
      </c>
      <c r="E115" s="242" t="str">
        <f>VLOOKUP(3,$B$59:$F$64,4,FALSE)</f>
        <v>Alex Naumi</v>
      </c>
      <c r="F115" s="242" t="str">
        <f>VLOOKUP(3,$B$59:$F$64,5,FALSE)</f>
        <v>KoKa</v>
      </c>
    </row>
    <row r="116" spans="3:6" ht="15">
      <c r="C116">
        <v>4</v>
      </c>
      <c r="E116" s="242" t="str">
        <f>VLOOKUP(4,$B$59:$F$64,4,FALSE)</f>
        <v>Jani Jormanainen</v>
      </c>
      <c r="F116" s="242" t="str">
        <f>VLOOKUP(4,$B$59:$F$64,5,FALSE)</f>
        <v>PT Espoo</v>
      </c>
    </row>
    <row r="117" spans="3:6" ht="15">
      <c r="C117">
        <v>5</v>
      </c>
      <c r="E117" s="242" t="str">
        <f>VLOOKUP(5,$B$59:$F$64,4,FALSE)</f>
        <v>Toni Soine</v>
      </c>
      <c r="F117" s="242" t="str">
        <f>VLOOKUP(5,$B$59:$F$64,5,FALSE)</f>
        <v>PT Espoo</v>
      </c>
    </row>
    <row r="118" spans="3:6" ht="15">
      <c r="C118">
        <v>6</v>
      </c>
      <c r="E118" s="242" t="str">
        <f>VLOOKUP(6,$B$59:$F$64,4,FALSE)</f>
        <v>Riku Autio</v>
      </c>
      <c r="F118" s="242" t="str">
        <f>VLOOKUP(6,$B$59:$F$64,5,FALSE)</f>
        <v>Koka</v>
      </c>
    </row>
    <row r="119" spans="3:6" ht="15">
      <c r="C119">
        <v>7</v>
      </c>
      <c r="E119" s="242" t="str">
        <f>VLOOKUP(7,$B$87:$F$92,4,FALSE)</f>
        <v>Roope Kantola</v>
      </c>
      <c r="F119" s="242" t="str">
        <f>VLOOKUP(7,$B$87:$F$92,5,FALSE)</f>
        <v>TuKa</v>
      </c>
    </row>
    <row r="120" spans="3:6" ht="15">
      <c r="C120">
        <v>8</v>
      </c>
      <c r="E120" s="242" t="str">
        <f>VLOOKUP(8,$B$87:$F$92,4,FALSE)</f>
        <v>Matias Ojala</v>
      </c>
      <c r="F120" s="242" t="str">
        <f>VLOOKUP(8,$B$87:$F$92,5,FALSE)</f>
        <v>PT Espoo</v>
      </c>
    </row>
    <row r="121" spans="3:6" ht="15">
      <c r="C121">
        <v>9</v>
      </c>
      <c r="E121" s="242" t="str">
        <f>VLOOKUP(9,$B$87:$F$92,4,FALSE)</f>
        <v>Veikka Flemming</v>
      </c>
      <c r="F121" s="242" t="str">
        <f>VLOOKUP(9,$B$87:$F$92,5,FALSE)</f>
        <v>KoKa</v>
      </c>
    </row>
    <row r="122" spans="3:6" ht="15">
      <c r="C122">
        <v>10</v>
      </c>
      <c r="E122" s="242" t="str">
        <f>VLOOKUP(10,$B$87:$F$92,4,FALSE)</f>
        <v>Jorma Lahtinen</v>
      </c>
      <c r="F122" s="242" t="str">
        <f>VLOOKUP(10,$B$87:$F$92,5,FALSE)</f>
        <v>LPTS</v>
      </c>
    </row>
    <row r="123" spans="3:6" ht="15">
      <c r="C123">
        <v>11</v>
      </c>
      <c r="E123" s="242" t="str">
        <f>VLOOKUP(11,$B$87:$F$92,4,FALSE)</f>
        <v>Aleksi Mustonen</v>
      </c>
      <c r="F123" s="242" t="str">
        <f>VLOOKUP(11,$B$87:$F$92,5,FALSE)</f>
        <v>TIP-70</v>
      </c>
    </row>
    <row r="124" spans="3:6" ht="15">
      <c r="C124">
        <v>12</v>
      </c>
      <c r="E124" s="242" t="str">
        <f>VLOOKUP(12,$B$87:$F$92,4,FALSE)</f>
        <v>Jussi Mäkelä</v>
      </c>
      <c r="F124" s="242" t="str">
        <f>VLOOKUP(12,$B$87:$F$92,5,FALSE)</f>
        <v>TIP-70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19">
      <selection activeCell="C35" sqref="C35:W49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T1">
        <v>1</v>
      </c>
      <c r="U1" t="s">
        <v>70</v>
      </c>
      <c r="V1" t="s">
        <v>80</v>
      </c>
      <c r="W1" t="s">
        <v>81</v>
      </c>
    </row>
    <row r="2" spans="3:20" ht="15">
      <c r="C2" t="s">
        <v>93</v>
      </c>
      <c r="D2" t="s">
        <v>95</v>
      </c>
      <c r="G2">
        <v>10</v>
      </c>
      <c r="I2">
        <v>5</v>
      </c>
      <c r="K2">
        <v>-10</v>
      </c>
      <c r="M2">
        <v>-10</v>
      </c>
      <c r="O2">
        <v>9</v>
      </c>
      <c r="Q2">
        <v>3</v>
      </c>
      <c r="R2">
        <v>2</v>
      </c>
      <c r="S2">
        <v>54</v>
      </c>
      <c r="T2">
        <v>48</v>
      </c>
    </row>
    <row r="3" spans="3:20" ht="15">
      <c r="C3" t="s">
        <v>101</v>
      </c>
      <c r="D3" t="s">
        <v>99</v>
      </c>
      <c r="G3">
        <v>-11</v>
      </c>
      <c r="I3">
        <v>9</v>
      </c>
      <c r="K3">
        <v>3</v>
      </c>
      <c r="M3">
        <v>11</v>
      </c>
      <c r="Q3">
        <v>3</v>
      </c>
      <c r="R3">
        <v>1</v>
      </c>
      <c r="S3">
        <v>46</v>
      </c>
      <c r="T3">
        <v>36</v>
      </c>
    </row>
    <row r="4" spans="3:20" ht="15">
      <c r="C4" t="s">
        <v>93</v>
      </c>
      <c r="D4" t="s">
        <v>99</v>
      </c>
      <c r="G4">
        <v>3</v>
      </c>
      <c r="I4">
        <v>2</v>
      </c>
      <c r="K4">
        <v>3</v>
      </c>
      <c r="Q4">
        <v>3</v>
      </c>
      <c r="R4">
        <v>0</v>
      </c>
      <c r="S4">
        <v>33</v>
      </c>
      <c r="T4">
        <v>8</v>
      </c>
    </row>
    <row r="5" spans="3:20" ht="15">
      <c r="C5" t="s">
        <v>101</v>
      </c>
      <c r="D5" t="s">
        <v>95</v>
      </c>
      <c r="G5">
        <v>-3</v>
      </c>
      <c r="I5">
        <v>-10</v>
      </c>
      <c r="K5">
        <v>8</v>
      </c>
      <c r="M5">
        <v>-9</v>
      </c>
      <c r="Q5">
        <v>1</v>
      </c>
      <c r="R5">
        <v>3</v>
      </c>
      <c r="S5">
        <v>33</v>
      </c>
      <c r="T5">
        <v>42</v>
      </c>
    </row>
    <row r="6" spans="3:20" ht="15">
      <c r="C6" t="s">
        <v>93</v>
      </c>
      <c r="D6" t="s">
        <v>101</v>
      </c>
      <c r="G6">
        <v>8</v>
      </c>
      <c r="I6">
        <v>3</v>
      </c>
      <c r="K6">
        <v>13</v>
      </c>
      <c r="Q6">
        <v>3</v>
      </c>
      <c r="R6">
        <v>0</v>
      </c>
      <c r="S6">
        <v>37</v>
      </c>
      <c r="T6">
        <v>24</v>
      </c>
    </row>
    <row r="7" spans="3:20" ht="15">
      <c r="C7" t="s">
        <v>95</v>
      </c>
      <c r="D7" t="s">
        <v>99</v>
      </c>
      <c r="G7">
        <v>-9</v>
      </c>
      <c r="I7">
        <v>7</v>
      </c>
      <c r="K7">
        <v>-8</v>
      </c>
      <c r="M7">
        <v>5</v>
      </c>
      <c r="O7">
        <v>-10</v>
      </c>
      <c r="Q7">
        <v>2</v>
      </c>
      <c r="R7">
        <v>3</v>
      </c>
      <c r="S7">
        <v>49</v>
      </c>
      <c r="T7">
        <v>46</v>
      </c>
    </row>
    <row r="8" spans="3:20" ht="15">
      <c r="C8" t="s">
        <v>104</v>
      </c>
      <c r="D8" t="s">
        <v>89</v>
      </c>
      <c r="G8">
        <v>9</v>
      </c>
      <c r="I8">
        <v>4</v>
      </c>
      <c r="K8">
        <v>9</v>
      </c>
      <c r="Q8">
        <v>3</v>
      </c>
      <c r="R8">
        <v>0</v>
      </c>
      <c r="S8">
        <v>33</v>
      </c>
      <c r="T8">
        <v>22</v>
      </c>
    </row>
    <row r="9" spans="3:20" ht="15">
      <c r="C9" t="s">
        <v>102</v>
      </c>
      <c r="D9" t="s">
        <v>92</v>
      </c>
      <c r="G9">
        <v>3</v>
      </c>
      <c r="I9">
        <v>6</v>
      </c>
      <c r="K9">
        <v>7</v>
      </c>
      <c r="Q9">
        <v>3</v>
      </c>
      <c r="R9">
        <v>0</v>
      </c>
      <c r="S9">
        <v>33</v>
      </c>
      <c r="T9">
        <v>16</v>
      </c>
    </row>
    <row r="10" spans="3:20" ht="15">
      <c r="C10" t="s">
        <v>104</v>
      </c>
      <c r="D10" t="s">
        <v>92</v>
      </c>
      <c r="G10">
        <v>4</v>
      </c>
      <c r="I10">
        <v>6</v>
      </c>
      <c r="K10">
        <v>4</v>
      </c>
      <c r="Q10">
        <v>3</v>
      </c>
      <c r="R10">
        <v>0</v>
      </c>
      <c r="S10">
        <v>33</v>
      </c>
      <c r="T10">
        <v>14</v>
      </c>
    </row>
    <row r="11" spans="3:20" ht="15">
      <c r="C11" t="s">
        <v>102</v>
      </c>
      <c r="D11" t="s">
        <v>89</v>
      </c>
      <c r="G11">
        <v>-13</v>
      </c>
      <c r="I11">
        <v>9</v>
      </c>
      <c r="K11">
        <v>-9</v>
      </c>
      <c r="M11">
        <v>-8</v>
      </c>
      <c r="Q11">
        <v>1</v>
      </c>
      <c r="R11">
        <v>3</v>
      </c>
      <c r="S11">
        <v>41</v>
      </c>
      <c r="T11">
        <v>46</v>
      </c>
    </row>
    <row r="12" spans="3:20" ht="15">
      <c r="C12" t="s">
        <v>104</v>
      </c>
      <c r="D12" t="s">
        <v>102</v>
      </c>
      <c r="G12">
        <v>4</v>
      </c>
      <c r="I12">
        <v>4</v>
      </c>
      <c r="K12">
        <v>4</v>
      </c>
      <c r="Q12">
        <v>3</v>
      </c>
      <c r="R12">
        <v>0</v>
      </c>
      <c r="S12">
        <v>33</v>
      </c>
      <c r="T12">
        <v>12</v>
      </c>
    </row>
    <row r="13" spans="3:20" ht="15">
      <c r="C13" t="s">
        <v>89</v>
      </c>
      <c r="D13" t="s">
        <v>92</v>
      </c>
      <c r="G13">
        <v>5</v>
      </c>
      <c r="I13">
        <v>4</v>
      </c>
      <c r="K13">
        <v>7</v>
      </c>
      <c r="Q13">
        <v>3</v>
      </c>
      <c r="R13">
        <v>0</v>
      </c>
      <c r="S13">
        <v>33</v>
      </c>
      <c r="T13">
        <v>16</v>
      </c>
    </row>
    <row r="14" spans="3:20" ht="15">
      <c r="C14" t="s">
        <v>94</v>
      </c>
      <c r="D14" t="s">
        <v>90</v>
      </c>
      <c r="G14">
        <v>6</v>
      </c>
      <c r="I14">
        <v>4</v>
      </c>
      <c r="K14">
        <v>10</v>
      </c>
      <c r="Q14">
        <v>3</v>
      </c>
      <c r="R14">
        <v>0</v>
      </c>
      <c r="S14">
        <v>34</v>
      </c>
      <c r="T14">
        <v>20</v>
      </c>
    </row>
    <row r="15" spans="3:20" ht="15">
      <c r="C15" t="s">
        <v>87</v>
      </c>
      <c r="D15" t="s">
        <v>98</v>
      </c>
      <c r="G15">
        <v>15</v>
      </c>
      <c r="I15">
        <v>9</v>
      </c>
      <c r="K15">
        <v>9</v>
      </c>
      <c r="Q15">
        <v>3</v>
      </c>
      <c r="R15">
        <v>0</v>
      </c>
      <c r="S15">
        <v>39</v>
      </c>
      <c r="T15">
        <v>33</v>
      </c>
    </row>
    <row r="16" spans="3:20" ht="15">
      <c r="C16" t="s">
        <v>94</v>
      </c>
      <c r="D16" t="s">
        <v>98</v>
      </c>
      <c r="G16">
        <v>1</v>
      </c>
      <c r="I16">
        <v>3</v>
      </c>
      <c r="K16">
        <v>3</v>
      </c>
      <c r="Q16">
        <v>3</v>
      </c>
      <c r="R16">
        <v>0</v>
      </c>
      <c r="S16">
        <v>33</v>
      </c>
      <c r="T16">
        <v>7</v>
      </c>
    </row>
    <row r="17" spans="3:20" ht="15">
      <c r="C17" t="s">
        <v>87</v>
      </c>
      <c r="D17" t="s">
        <v>90</v>
      </c>
      <c r="G17">
        <v>8</v>
      </c>
      <c r="I17">
        <v>8</v>
      </c>
      <c r="K17">
        <v>8</v>
      </c>
      <c r="Q17">
        <v>3</v>
      </c>
      <c r="R17">
        <v>0</v>
      </c>
      <c r="S17">
        <v>33</v>
      </c>
      <c r="T17">
        <v>24</v>
      </c>
    </row>
    <row r="18" spans="3:20" ht="15">
      <c r="C18" t="s">
        <v>94</v>
      </c>
      <c r="D18" t="s">
        <v>87</v>
      </c>
      <c r="G18">
        <v>9</v>
      </c>
      <c r="I18">
        <v>3</v>
      </c>
      <c r="K18">
        <v>-9</v>
      </c>
      <c r="M18">
        <v>2</v>
      </c>
      <c r="Q18">
        <v>3</v>
      </c>
      <c r="R18">
        <v>1</v>
      </c>
      <c r="S18">
        <v>42</v>
      </c>
      <c r="T18">
        <v>25</v>
      </c>
    </row>
    <row r="19" spans="3:20" ht="15">
      <c r="C19" t="s">
        <v>90</v>
      </c>
      <c r="D19" t="s">
        <v>98</v>
      </c>
      <c r="G19">
        <v>-10</v>
      </c>
      <c r="I19">
        <v>-10</v>
      </c>
      <c r="K19">
        <v>-8</v>
      </c>
      <c r="Q19">
        <v>0</v>
      </c>
      <c r="R19">
        <v>3</v>
      </c>
      <c r="S19">
        <v>28</v>
      </c>
      <c r="T19">
        <v>35</v>
      </c>
    </row>
    <row r="20" spans="3:20" ht="15">
      <c r="C20" t="s">
        <v>93</v>
      </c>
      <c r="D20" t="s">
        <v>95</v>
      </c>
      <c r="G20">
        <v>10</v>
      </c>
      <c r="I20">
        <v>5</v>
      </c>
      <c r="K20">
        <v>-10</v>
      </c>
      <c r="M20">
        <v>-10</v>
      </c>
      <c r="O20">
        <v>9</v>
      </c>
      <c r="Q20">
        <v>3</v>
      </c>
      <c r="R20">
        <v>2</v>
      </c>
      <c r="S20">
        <v>54</v>
      </c>
      <c r="T20">
        <v>48</v>
      </c>
    </row>
    <row r="21" spans="3:20" ht="15">
      <c r="C21" t="s">
        <v>104</v>
      </c>
      <c r="D21" t="s">
        <v>89</v>
      </c>
      <c r="G21">
        <v>9</v>
      </c>
      <c r="I21">
        <v>4</v>
      </c>
      <c r="K21">
        <v>9</v>
      </c>
      <c r="Q21">
        <v>3</v>
      </c>
      <c r="R21">
        <v>0</v>
      </c>
      <c r="S21">
        <v>33</v>
      </c>
      <c r="T21">
        <v>22</v>
      </c>
    </row>
    <row r="22" spans="3:20" ht="15">
      <c r="C22" t="s">
        <v>94</v>
      </c>
      <c r="D22" t="s">
        <v>87</v>
      </c>
      <c r="G22">
        <v>9</v>
      </c>
      <c r="I22">
        <v>3</v>
      </c>
      <c r="K22">
        <v>-9</v>
      </c>
      <c r="M22">
        <v>2</v>
      </c>
      <c r="Q22">
        <v>3</v>
      </c>
      <c r="R22">
        <v>1</v>
      </c>
      <c r="S22">
        <v>42</v>
      </c>
      <c r="T22">
        <v>25</v>
      </c>
    </row>
    <row r="23" spans="3:20" ht="15">
      <c r="C23" t="s">
        <v>93</v>
      </c>
      <c r="D23" t="s">
        <v>89</v>
      </c>
      <c r="G23">
        <v>7</v>
      </c>
      <c r="I23">
        <v>-9</v>
      </c>
      <c r="K23">
        <v>-4</v>
      </c>
      <c r="M23">
        <v>11</v>
      </c>
      <c r="O23">
        <v>-3</v>
      </c>
      <c r="Q23">
        <v>2</v>
      </c>
      <c r="R23">
        <v>3</v>
      </c>
      <c r="S23">
        <v>40</v>
      </c>
      <c r="T23">
        <v>51</v>
      </c>
    </row>
    <row r="24" spans="3:20" ht="15">
      <c r="C24" t="s">
        <v>104</v>
      </c>
      <c r="D24" t="s">
        <v>87</v>
      </c>
      <c r="G24">
        <v>-7</v>
      </c>
      <c r="I24">
        <v>13</v>
      </c>
      <c r="K24">
        <v>-9</v>
      </c>
      <c r="M24">
        <v>6</v>
      </c>
      <c r="O24">
        <v>-6</v>
      </c>
      <c r="Q24">
        <v>2</v>
      </c>
      <c r="R24">
        <v>3</v>
      </c>
      <c r="S24">
        <v>48</v>
      </c>
      <c r="T24">
        <v>52</v>
      </c>
    </row>
    <row r="25" spans="3:20" ht="15">
      <c r="C25" t="s">
        <v>94</v>
      </c>
      <c r="D25" t="s">
        <v>95</v>
      </c>
      <c r="G25">
        <v>4</v>
      </c>
      <c r="I25">
        <v>3</v>
      </c>
      <c r="K25">
        <v>5</v>
      </c>
      <c r="Q25">
        <v>3</v>
      </c>
      <c r="R25">
        <v>0</v>
      </c>
      <c r="S25">
        <v>33</v>
      </c>
      <c r="T25">
        <v>12</v>
      </c>
    </row>
    <row r="26" spans="3:20" ht="15">
      <c r="C26" t="s">
        <v>93</v>
      </c>
      <c r="D26" t="s">
        <v>94</v>
      </c>
      <c r="G26">
        <v>-7</v>
      </c>
      <c r="I26">
        <v>10</v>
      </c>
      <c r="K26">
        <v>-4</v>
      </c>
      <c r="M26">
        <v>10</v>
      </c>
      <c r="O26">
        <v>-5</v>
      </c>
      <c r="Q26">
        <v>2</v>
      </c>
      <c r="R26">
        <v>3</v>
      </c>
      <c r="S26">
        <v>40</v>
      </c>
      <c r="T26">
        <v>53</v>
      </c>
    </row>
    <row r="27" spans="3:20" ht="15">
      <c r="C27" t="s">
        <v>104</v>
      </c>
      <c r="D27" t="s">
        <v>95</v>
      </c>
      <c r="G27">
        <v>7</v>
      </c>
      <c r="I27">
        <v>-5</v>
      </c>
      <c r="K27">
        <v>-9</v>
      </c>
      <c r="M27">
        <v>-3</v>
      </c>
      <c r="Q27">
        <v>1</v>
      </c>
      <c r="R27">
        <v>3</v>
      </c>
      <c r="S27">
        <v>28</v>
      </c>
      <c r="T27">
        <v>40</v>
      </c>
    </row>
    <row r="28" spans="3:20" ht="15">
      <c r="C28" t="s">
        <v>89</v>
      </c>
      <c r="D28" t="s">
        <v>87</v>
      </c>
      <c r="G28">
        <v>9</v>
      </c>
      <c r="I28">
        <v>-11</v>
      </c>
      <c r="K28">
        <v>5</v>
      </c>
      <c r="M28">
        <v>-9</v>
      </c>
      <c r="O28">
        <v>-7</v>
      </c>
      <c r="Q28">
        <v>2</v>
      </c>
      <c r="R28">
        <v>3</v>
      </c>
      <c r="S28">
        <v>49</v>
      </c>
      <c r="T28">
        <v>49</v>
      </c>
    </row>
    <row r="29" spans="3:20" ht="15">
      <c r="C29" t="s">
        <v>93</v>
      </c>
      <c r="D29" t="s">
        <v>87</v>
      </c>
      <c r="G29">
        <v>8</v>
      </c>
      <c r="I29">
        <v>-7</v>
      </c>
      <c r="K29">
        <v>-5</v>
      </c>
      <c r="M29">
        <v>-9</v>
      </c>
      <c r="Q29">
        <v>1</v>
      </c>
      <c r="R29">
        <v>3</v>
      </c>
      <c r="S29">
        <v>32</v>
      </c>
      <c r="T29">
        <v>41</v>
      </c>
    </row>
    <row r="30" spans="3:20" ht="15">
      <c r="C30" t="s">
        <v>104</v>
      </c>
      <c r="D30" t="s">
        <v>94</v>
      </c>
      <c r="G30">
        <v>8</v>
      </c>
      <c r="I30">
        <v>4</v>
      </c>
      <c r="K30">
        <v>9</v>
      </c>
      <c r="Q30">
        <v>3</v>
      </c>
      <c r="R30">
        <v>0</v>
      </c>
      <c r="S30">
        <v>33</v>
      </c>
      <c r="T30">
        <v>21</v>
      </c>
    </row>
    <row r="31" spans="3:20" ht="15">
      <c r="C31" t="s">
        <v>89</v>
      </c>
      <c r="D31" t="s">
        <v>95</v>
      </c>
      <c r="G31">
        <v>9</v>
      </c>
      <c r="I31">
        <v>4</v>
      </c>
      <c r="K31">
        <v>9</v>
      </c>
      <c r="Q31">
        <v>3</v>
      </c>
      <c r="R31">
        <v>0</v>
      </c>
      <c r="S31">
        <v>33</v>
      </c>
      <c r="T31">
        <v>22</v>
      </c>
    </row>
    <row r="32" spans="3:20" ht="15">
      <c r="C32" t="s">
        <v>93</v>
      </c>
      <c r="D32" t="s">
        <v>104</v>
      </c>
      <c r="G32">
        <v>8</v>
      </c>
      <c r="I32">
        <v>-8</v>
      </c>
      <c r="K32">
        <v>-8</v>
      </c>
      <c r="M32">
        <v>5</v>
      </c>
      <c r="O32">
        <v>-5</v>
      </c>
      <c r="Q32">
        <v>2</v>
      </c>
      <c r="R32">
        <v>3</v>
      </c>
      <c r="S32">
        <v>43</v>
      </c>
      <c r="T32">
        <v>46</v>
      </c>
    </row>
    <row r="33" spans="3:20" ht="15">
      <c r="C33" t="s">
        <v>94</v>
      </c>
      <c r="D33" t="s">
        <v>89</v>
      </c>
      <c r="G33">
        <v>6</v>
      </c>
      <c r="I33">
        <v>-10</v>
      </c>
      <c r="K33">
        <v>8</v>
      </c>
      <c r="M33">
        <v>7</v>
      </c>
      <c r="Q33">
        <v>3</v>
      </c>
      <c r="R33">
        <v>1</v>
      </c>
      <c r="S33">
        <v>43</v>
      </c>
      <c r="T33">
        <v>33</v>
      </c>
    </row>
    <row r="34" spans="3:20" ht="15">
      <c r="C34" t="s">
        <v>95</v>
      </c>
      <c r="D34" t="s">
        <v>87</v>
      </c>
      <c r="G34">
        <v>-8</v>
      </c>
      <c r="I34">
        <v>-5</v>
      </c>
      <c r="K34">
        <v>11</v>
      </c>
      <c r="M34">
        <v>-5</v>
      </c>
      <c r="Q34">
        <v>1</v>
      </c>
      <c r="R34">
        <v>3</v>
      </c>
      <c r="S34">
        <v>31</v>
      </c>
      <c r="T34">
        <v>44</v>
      </c>
    </row>
    <row r="35" spans="3:20" ht="15">
      <c r="C35" t="s">
        <v>101</v>
      </c>
      <c r="D35" t="s">
        <v>99</v>
      </c>
      <c r="G35">
        <v>-11</v>
      </c>
      <c r="I35">
        <v>9</v>
      </c>
      <c r="K35">
        <v>3</v>
      </c>
      <c r="M35">
        <v>11</v>
      </c>
      <c r="Q35">
        <v>3</v>
      </c>
      <c r="R35">
        <v>1</v>
      </c>
      <c r="S35">
        <v>46</v>
      </c>
      <c r="T35">
        <v>36</v>
      </c>
    </row>
    <row r="36" spans="3:20" ht="15">
      <c r="C36" t="s">
        <v>102</v>
      </c>
      <c r="D36" t="s">
        <v>92</v>
      </c>
      <c r="G36">
        <v>3</v>
      </c>
      <c r="I36">
        <v>6</v>
      </c>
      <c r="K36">
        <v>7</v>
      </c>
      <c r="Q36">
        <v>3</v>
      </c>
      <c r="R36">
        <v>0</v>
      </c>
      <c r="S36">
        <v>33</v>
      </c>
      <c r="T36">
        <v>16</v>
      </c>
    </row>
    <row r="37" spans="3:20" ht="15">
      <c r="C37" t="s">
        <v>98</v>
      </c>
      <c r="D37" t="s">
        <v>90</v>
      </c>
      <c r="G37">
        <v>10</v>
      </c>
      <c r="I37">
        <v>10</v>
      </c>
      <c r="K37">
        <v>8</v>
      </c>
      <c r="Q37">
        <v>3</v>
      </c>
      <c r="R37">
        <v>0</v>
      </c>
      <c r="S37">
        <v>35</v>
      </c>
      <c r="T37">
        <v>28</v>
      </c>
    </row>
    <row r="38" spans="3:20" ht="15">
      <c r="C38" t="s">
        <v>101</v>
      </c>
      <c r="D38" t="s">
        <v>92</v>
      </c>
      <c r="G38">
        <v>6</v>
      </c>
      <c r="I38">
        <v>-7</v>
      </c>
      <c r="K38">
        <v>6</v>
      </c>
      <c r="M38">
        <v>4</v>
      </c>
      <c r="Q38">
        <v>3</v>
      </c>
      <c r="R38">
        <v>1</v>
      </c>
      <c r="S38">
        <v>40</v>
      </c>
      <c r="T38">
        <v>27</v>
      </c>
    </row>
    <row r="39" spans="3:20" ht="15">
      <c r="C39" t="s">
        <v>102</v>
      </c>
      <c r="D39" t="s">
        <v>90</v>
      </c>
      <c r="G39">
        <v>2</v>
      </c>
      <c r="I39">
        <v>-9</v>
      </c>
      <c r="K39">
        <v>-7</v>
      </c>
      <c r="M39">
        <v>-4</v>
      </c>
      <c r="Q39">
        <v>1</v>
      </c>
      <c r="R39">
        <v>3</v>
      </c>
      <c r="S39">
        <v>31</v>
      </c>
      <c r="T39">
        <v>35</v>
      </c>
    </row>
    <row r="40" spans="3:20" ht="15">
      <c r="C40" t="s">
        <v>98</v>
      </c>
      <c r="D40" t="s">
        <v>99</v>
      </c>
      <c r="G40">
        <v>6</v>
      </c>
      <c r="I40">
        <v>9</v>
      </c>
      <c r="K40">
        <v>13</v>
      </c>
      <c r="Q40">
        <v>3</v>
      </c>
      <c r="R40">
        <v>0</v>
      </c>
      <c r="S40">
        <v>37</v>
      </c>
      <c r="T40">
        <v>28</v>
      </c>
    </row>
    <row r="41" spans="3:20" ht="15">
      <c r="C41" t="s">
        <v>101</v>
      </c>
      <c r="D41" t="s">
        <v>98</v>
      </c>
      <c r="G41">
        <v>9</v>
      </c>
      <c r="I41">
        <v>10</v>
      </c>
      <c r="K41">
        <v>-7</v>
      </c>
      <c r="M41">
        <v>9</v>
      </c>
      <c r="Q41">
        <v>3</v>
      </c>
      <c r="R41">
        <v>1</v>
      </c>
      <c r="S41">
        <v>41</v>
      </c>
      <c r="T41">
        <v>39</v>
      </c>
    </row>
    <row r="42" spans="3:20" ht="15">
      <c r="C42" t="s">
        <v>102</v>
      </c>
      <c r="D42" t="s">
        <v>99</v>
      </c>
      <c r="G42">
        <v>2</v>
      </c>
      <c r="I42">
        <v>4</v>
      </c>
      <c r="K42">
        <v>9</v>
      </c>
      <c r="Q42">
        <v>3</v>
      </c>
      <c r="R42">
        <v>0</v>
      </c>
      <c r="S42">
        <v>33</v>
      </c>
      <c r="T42">
        <v>15</v>
      </c>
    </row>
    <row r="43" spans="3:20" ht="15">
      <c r="C43" t="s">
        <v>92</v>
      </c>
      <c r="D43" t="s">
        <v>90</v>
      </c>
      <c r="G43">
        <v>-6</v>
      </c>
      <c r="I43">
        <v>-9</v>
      </c>
      <c r="K43">
        <v>-9</v>
      </c>
      <c r="Q43">
        <v>0</v>
      </c>
      <c r="R43">
        <v>3</v>
      </c>
      <c r="S43">
        <v>24</v>
      </c>
      <c r="T43">
        <v>33</v>
      </c>
    </row>
    <row r="44" spans="3:20" ht="15">
      <c r="C44" t="s">
        <v>101</v>
      </c>
      <c r="D44" t="s">
        <v>90</v>
      </c>
      <c r="G44">
        <v>10</v>
      </c>
      <c r="I44">
        <v>-6</v>
      </c>
      <c r="K44">
        <v>10</v>
      </c>
      <c r="M44">
        <v>-9</v>
      </c>
      <c r="O44">
        <v>11</v>
      </c>
      <c r="Q44">
        <v>3</v>
      </c>
      <c r="R44">
        <v>2</v>
      </c>
      <c r="S44">
        <v>52</v>
      </c>
      <c r="T44">
        <v>53</v>
      </c>
    </row>
    <row r="45" spans="3:20" ht="15">
      <c r="C45" t="s">
        <v>102</v>
      </c>
      <c r="D45" t="s">
        <v>98</v>
      </c>
      <c r="G45">
        <v>6</v>
      </c>
      <c r="I45">
        <v>-3</v>
      </c>
      <c r="K45">
        <v>8</v>
      </c>
      <c r="M45">
        <v>-5</v>
      </c>
      <c r="O45">
        <v>10</v>
      </c>
      <c r="Q45">
        <v>3</v>
      </c>
      <c r="R45">
        <v>2</v>
      </c>
      <c r="S45">
        <v>42</v>
      </c>
      <c r="T45">
        <v>46</v>
      </c>
    </row>
    <row r="46" spans="3:20" ht="15">
      <c r="C46" t="s">
        <v>92</v>
      </c>
      <c r="D46" t="s">
        <v>99</v>
      </c>
      <c r="G46">
        <v>-7</v>
      </c>
      <c r="I46">
        <v>-5</v>
      </c>
      <c r="K46">
        <v>-9</v>
      </c>
      <c r="Q46">
        <v>0</v>
      </c>
      <c r="R46">
        <v>3</v>
      </c>
      <c r="S46">
        <v>21</v>
      </c>
      <c r="T46">
        <v>33</v>
      </c>
    </row>
    <row r="47" spans="3:20" ht="15">
      <c r="C47" t="s">
        <v>101</v>
      </c>
      <c r="D47" t="s">
        <v>102</v>
      </c>
      <c r="G47">
        <v>10</v>
      </c>
      <c r="I47">
        <v>-5</v>
      </c>
      <c r="K47">
        <v>9</v>
      </c>
      <c r="M47">
        <v>-7</v>
      </c>
      <c r="O47">
        <v>-7</v>
      </c>
      <c r="Q47">
        <v>2</v>
      </c>
      <c r="R47">
        <v>3</v>
      </c>
      <c r="S47">
        <v>42</v>
      </c>
      <c r="T47">
        <v>52</v>
      </c>
    </row>
    <row r="48" spans="3:20" ht="15">
      <c r="C48" t="s">
        <v>98</v>
      </c>
      <c r="D48" t="s">
        <v>92</v>
      </c>
      <c r="G48">
        <v>8</v>
      </c>
      <c r="I48">
        <v>2</v>
      </c>
      <c r="K48">
        <v>6</v>
      </c>
      <c r="Q48">
        <v>3</v>
      </c>
      <c r="R48">
        <v>0</v>
      </c>
      <c r="S48">
        <v>33</v>
      </c>
      <c r="T48">
        <v>16</v>
      </c>
    </row>
    <row r="49" spans="3:20" ht="15">
      <c r="C49" t="s">
        <v>99</v>
      </c>
      <c r="D49" t="s">
        <v>90</v>
      </c>
      <c r="G49">
        <v>8</v>
      </c>
      <c r="I49">
        <v>9</v>
      </c>
      <c r="K49">
        <v>4</v>
      </c>
      <c r="Q49">
        <v>3</v>
      </c>
      <c r="R49">
        <v>0</v>
      </c>
      <c r="S49">
        <v>33</v>
      </c>
      <c r="T49">
        <v>21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Jouko Manni</cp:lastModifiedBy>
  <cp:lastPrinted>2018-12-14T17:07:16Z</cp:lastPrinted>
  <dcterms:created xsi:type="dcterms:W3CDTF">2004-10-26T13:39:47Z</dcterms:created>
  <dcterms:modified xsi:type="dcterms:W3CDTF">2018-12-15T07:01:38Z</dcterms:modified>
  <cp:category/>
  <cp:version/>
  <cp:contentType/>
  <cp:contentStatus/>
</cp:coreProperties>
</file>