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90" windowWidth="20730" windowHeight="11760" activeTab="0"/>
  </bookViews>
  <sheets>
    <sheet name="TOP-12" sheetId="1" r:id="rId1"/>
    <sheet name="Data" sheetId="2" r:id="rId2"/>
    <sheet name="Taul3" sheetId="3" r:id="rId3"/>
  </sheets>
  <definedNames>
    <definedName name="_xlnm.Print_Area" localSheetId="0">'TOP-12'!$C$5:$X$125</definedName>
  </definedNames>
  <calcPr fullCalcOnLoad="1"/>
</workbook>
</file>

<file path=xl/sharedStrings.xml><?xml version="1.0" encoding="utf-8"?>
<sst xmlns="http://schemas.openxmlformats.org/spreadsheetml/2006/main" count="335" uniqueCount="105">
  <si>
    <t>Lohko:</t>
  </si>
  <si>
    <t>Pöytä</t>
  </si>
  <si>
    <t>Päivä: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</si>
  <si>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</si>
  <si>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</si>
  <si>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</si>
  <si>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</si>
  <si>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</si>
  <si>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</si>
  <si>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</si>
  <si>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</si>
  <si>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</si>
  <si>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Sija</t>
  </si>
  <si>
    <t>Pistesum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</si>
  <si>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</si>
  <si>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</si>
  <si>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</si>
  <si>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</si>
  <si>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</si>
  <si>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</si>
  <si>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</si>
  <si>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</si>
  <si>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</si>
  <si>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</si>
  <si>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</si>
  <si>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</si>
  <si>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</si>
  <si>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5</t>
  </si>
  <si>
    <t>6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</si>
  <si>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</si>
  <si>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</si>
  <si>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</si>
  <si>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</si>
  <si>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</si>
  <si>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</si>
  <si>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</si>
  <si>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</si>
  <si>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</si>
  <si>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SPTL TOP-12   ja 1- / 2- karsinnat</t>
  </si>
  <si>
    <t>täytä vain keltaisia ruutuja, muissa voi olla kaavoja</t>
  </si>
  <si>
    <t>A</t>
  </si>
  <si>
    <t>B</t>
  </si>
  <si>
    <t>C</t>
  </si>
  <si>
    <t>sijat 1-6</t>
  </si>
  <si>
    <t>sijat 7-12</t>
  </si>
  <si>
    <t>A1</t>
  </si>
  <si>
    <t>B1</t>
  </si>
  <si>
    <t>C1</t>
  </si>
  <si>
    <t>B2</t>
  </si>
  <si>
    <t>A2</t>
  </si>
  <si>
    <t>C2</t>
  </si>
  <si>
    <t>A3</t>
  </si>
  <si>
    <t>B3</t>
  </si>
  <si>
    <t>C3</t>
  </si>
  <si>
    <t>B4</t>
  </si>
  <si>
    <t>A4</t>
  </si>
  <si>
    <t>C4</t>
  </si>
  <si>
    <t>vaalean siniset jatko-ottelut periytyvät (tallenna pisteet erikseen) alkulohkoista</t>
  </si>
  <si>
    <t>SPTL</t>
  </si>
  <si>
    <t>Alkulohkot</t>
  </si>
  <si>
    <t>TÄYTÄ OTSIKOT VAIN A-LOHKOON</t>
  </si>
  <si>
    <t>ÄLÄ POISTA TAI LISÄÄ SARAKKEITA</t>
  </si>
  <si>
    <t>Taulukko on suojattu ( ei salasanaa)</t>
  </si>
  <si>
    <t>Lopullinen järjestys</t>
  </si>
  <si>
    <t>Lopulliset sijoitukset</t>
  </si>
  <si>
    <t>Lask</t>
  </si>
  <si>
    <t>Eräerot</t>
  </si>
  <si>
    <t xml:space="preserve">Kirjoita vain erien jäännöspisteet( esim. 11-7  = 7 tai  6-11 = -6 ). Jos -0 (miinus nolla), anna tekstimuotoilun etupilkku (tähtimerkin alaosassa). </t>
  </si>
  <si>
    <t>Rating</t>
  </si>
  <si>
    <t>Lohkopist</t>
  </si>
  <si>
    <t>wo</t>
  </si>
  <si>
    <t>Suhde</t>
  </si>
  <si>
    <t>Eräpisteet</t>
  </si>
  <si>
    <t>Yht</t>
  </si>
  <si>
    <t>Lohkopisteet</t>
  </si>
  <si>
    <t>Keltapohjaiseen Lask -sarakkeeseen syötä 1 jokaiselle pelaajalle, jotka osallistuvat laskentaan. Lohkopisteitä voittajalle 2, hävinneelle 1.</t>
  </si>
  <si>
    <t>Summat</t>
  </si>
  <si>
    <t xml:space="preserve"> järjestyksen määrää lohkopisteet ja tasapisteissä keskinäiset lohkopisteet, eräsuhde, eräpisteiden suhde</t>
  </si>
  <si>
    <t>Tasapisteiden tilanteen laskennan apualue</t>
  </si>
  <si>
    <t>Lohkopisteiden lakenta-alue</t>
  </si>
  <si>
    <t>rtd</t>
  </si>
  <si>
    <t>dqf</t>
  </si>
  <si>
    <t>WO, rtd tai dqf -sarakkeeseen syötä 1, jos ottelu on wo,rtd tai dqf (diskaus). Voittaja saa 2 lohkopistettä, hävinnyt 0. Rtd ja Dsf -pisteet jäävät Rating-laskentaan, Wo -pisteet ei.</t>
  </si>
  <si>
    <t>Wo-pisteet syötetään 0,0,0 tai -0,-0,-0. Rtd tai Dsf -pisteet keskeytystilanteen mukaan viimeisessä erässä, pelaamatta jääneet eräpisteet 0 tai -0</t>
  </si>
  <si>
    <t>Kopioi lopuksi kaikki ottelut pisteineen välilehdelle 'Data' suorittamalla makro ctrl-z. Rating-laskentaa varten</t>
  </si>
  <si>
    <t>versio 12.12.2012 / Asko Kilpi</t>
  </si>
  <si>
    <t>TOP-12 1-karsinta</t>
  </si>
  <si>
    <t>11:00</t>
  </si>
  <si>
    <t>Jani Jormanainen</t>
  </si>
  <si>
    <t>PT Espoo</t>
  </si>
  <si>
    <t>Aleksi Mustonen</t>
  </si>
  <si>
    <t>TIP-70</t>
  </si>
  <si>
    <t>Veikka Flemming</t>
  </si>
  <si>
    <t>KoKa</t>
  </si>
  <si>
    <t>Mika Tuomola</t>
  </si>
  <si>
    <t>PT 75</t>
  </si>
  <si>
    <t>Alex Naumi</t>
  </si>
  <si>
    <t>Mika Rauvola</t>
  </si>
  <si>
    <t>IPT-94</t>
  </si>
  <si>
    <t>Sami Ruohonen</t>
  </si>
  <si>
    <t>Chau Dinh Huy</t>
  </si>
  <si>
    <t>Jussi Mäkelä</t>
  </si>
  <si>
    <t>Tero Tamminen</t>
  </si>
  <si>
    <t>Thomas Lundström</t>
  </si>
  <si>
    <t>MBF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</si>
</sst>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B]d\.\ mmmm&quot;ta &quot;yyyy"/>
  </numFmts>
  <fonts count="68">
    <font>
      <sz val="12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sz val="12"/>
      <name val="SWISS"/>
      <family val="0"/>
    </font>
    <font>
      <b/>
      <sz val="12"/>
      <name val="Arial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SWISS"/>
      <family val="0"/>
    </font>
    <font>
      <sz val="11"/>
      <name val="Arial"/>
      <family val="0"/>
    </font>
    <font>
      <b/>
      <sz val="10"/>
      <name val="Arial"/>
      <family val="0"/>
    </font>
    <font>
      <sz val="9"/>
      <color indexed="8"/>
      <name val="SWISS"/>
      <family val="0"/>
    </font>
    <font>
      <b/>
      <sz val="10"/>
      <color indexed="8"/>
      <name val="SWISS"/>
      <family val="0"/>
    </font>
    <font>
      <i/>
      <sz val="8"/>
      <color indexed="8"/>
      <name val="SWISS"/>
      <family val="0"/>
    </font>
    <font>
      <sz val="9"/>
      <name val="SWISS"/>
      <family val="0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sz val="10"/>
      <color indexed="8"/>
      <name val="Arial"/>
      <family val="2"/>
    </font>
    <font>
      <b/>
      <sz val="8"/>
      <color indexed="8"/>
      <name val="SWISS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2"/>
      <color indexed="9"/>
      <name val="Arial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</fills>
  <borders count="1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/>
      <top>
        <color indexed="63"/>
      </top>
      <bottom style="thin">
        <color indexed="8"/>
      </bottom>
    </border>
    <border>
      <left style="medium"/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 style="thin"/>
      <top style="medium"/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medium"/>
    </border>
    <border>
      <left style="dotted">
        <color indexed="8"/>
      </left>
      <right style="thin"/>
      <top style="thin">
        <color indexed="8"/>
      </top>
      <bottom style="medium"/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/>
      <top style="medium"/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173" fontId="4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36">
    <xf numFmtId="0" fontId="0" fillId="0" borderId="0" xfId="0" applyAlignment="1">
      <alignment/>
    </xf>
    <xf numFmtId="173" fontId="3" fillId="0" borderId="10" xfId="57" applyFont="1" applyBorder="1" applyProtection="1">
      <alignment/>
      <protection/>
    </xf>
    <xf numFmtId="173" fontId="3" fillId="0" borderId="11" xfId="57" applyFont="1" applyBorder="1" applyProtection="1">
      <alignment/>
      <protection/>
    </xf>
    <xf numFmtId="173" fontId="3" fillId="0" borderId="12" xfId="57" applyFont="1" applyBorder="1" applyProtection="1">
      <alignment/>
      <protection/>
    </xf>
    <xf numFmtId="173" fontId="3" fillId="0" borderId="13" xfId="57" applyFont="1" applyBorder="1" applyProtection="1">
      <alignment/>
      <protection/>
    </xf>
    <xf numFmtId="0" fontId="11" fillId="0" borderId="14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173" fontId="3" fillId="0" borderId="17" xfId="57" applyFont="1" applyBorder="1" applyProtection="1">
      <alignment/>
      <protection/>
    </xf>
    <xf numFmtId="0" fontId="9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33" borderId="20" xfId="0" applyFont="1" applyFill="1" applyBorder="1" applyAlignment="1">
      <alignment/>
    </xf>
    <xf numFmtId="0" fontId="9" fillId="0" borderId="21" xfId="0" applyFont="1" applyBorder="1" applyAlignment="1">
      <alignment/>
    </xf>
    <xf numFmtId="173" fontId="4" fillId="0" borderId="0" xfId="57">
      <alignment/>
      <protection/>
    </xf>
    <xf numFmtId="173" fontId="15" fillId="34" borderId="22" xfId="57" applyFont="1" applyFill="1" applyBorder="1" applyAlignment="1" applyProtection="1">
      <alignment horizontal="center"/>
      <protection/>
    </xf>
    <xf numFmtId="173" fontId="15" fillId="34" borderId="23" xfId="57" applyFont="1" applyFill="1" applyBorder="1" applyAlignment="1" applyProtection="1">
      <alignment horizontal="center"/>
      <protection/>
    </xf>
    <xf numFmtId="173" fontId="15" fillId="0" borderId="22" xfId="57" applyFont="1" applyBorder="1" applyProtection="1">
      <alignment/>
      <protection/>
    </xf>
    <xf numFmtId="173" fontId="15" fillId="0" borderId="23" xfId="57" applyFont="1" applyBorder="1" applyProtection="1">
      <alignment/>
      <protection/>
    </xf>
    <xf numFmtId="173" fontId="16" fillId="0" borderId="24" xfId="57" applyFont="1" applyBorder="1" applyAlignment="1" applyProtection="1">
      <alignment/>
      <protection/>
    </xf>
    <xf numFmtId="173" fontId="16" fillId="0" borderId="25" xfId="57" applyFont="1" applyBorder="1" applyAlignment="1" applyProtection="1">
      <alignment/>
      <protection/>
    </xf>
    <xf numFmtId="173" fontId="15" fillId="0" borderId="26" xfId="57" applyFont="1" applyBorder="1" applyProtection="1">
      <alignment/>
      <protection/>
    </xf>
    <xf numFmtId="173" fontId="15" fillId="0" borderId="27" xfId="57" applyFont="1" applyBorder="1" applyProtection="1">
      <alignment/>
      <protection/>
    </xf>
    <xf numFmtId="173" fontId="15" fillId="34" borderId="26" xfId="57" applyFont="1" applyFill="1" applyBorder="1" applyAlignment="1" applyProtection="1">
      <alignment horizontal="center"/>
      <protection/>
    </xf>
    <xf numFmtId="173" fontId="15" fillId="34" borderId="27" xfId="57" applyFont="1" applyFill="1" applyBorder="1" applyAlignment="1" applyProtection="1">
      <alignment horizontal="center"/>
      <protection/>
    </xf>
    <xf numFmtId="173" fontId="15" fillId="34" borderId="12" xfId="57" applyFont="1" applyFill="1" applyBorder="1" applyAlignment="1" applyProtection="1">
      <alignment horizontal="center"/>
      <protection/>
    </xf>
    <xf numFmtId="173" fontId="15" fillId="0" borderId="17" xfId="57" applyFont="1" applyBorder="1" applyProtection="1">
      <alignment/>
      <protection/>
    </xf>
    <xf numFmtId="173" fontId="16" fillId="0" borderId="28" xfId="57" applyFont="1" applyBorder="1" applyAlignment="1" applyProtection="1">
      <alignment/>
      <protection/>
    </xf>
    <xf numFmtId="0" fontId="11" fillId="0" borderId="29" xfId="0" applyFont="1" applyBorder="1" applyAlignment="1">
      <alignment/>
    </xf>
    <xf numFmtId="173" fontId="3" fillId="0" borderId="30" xfId="57" applyFont="1" applyBorder="1" applyProtection="1">
      <alignment/>
      <protection/>
    </xf>
    <xf numFmtId="0" fontId="19" fillId="0" borderId="0" xfId="0" applyFont="1" applyAlignment="1">
      <alignment/>
    </xf>
    <xf numFmtId="0" fontId="20" fillId="35" borderId="0" xfId="0" applyFont="1" applyFill="1" applyAlignment="1">
      <alignment/>
    </xf>
    <xf numFmtId="0" fontId="11" fillId="0" borderId="31" xfId="0" applyFont="1" applyBorder="1" applyAlignment="1">
      <alignment/>
    </xf>
    <xf numFmtId="0" fontId="21" fillId="0" borderId="0" xfId="0" applyFont="1" applyAlignment="1">
      <alignment/>
    </xf>
    <xf numFmtId="173" fontId="22" fillId="0" borderId="0" xfId="0" applyNumberFormat="1" applyFont="1" applyAlignment="1">
      <alignment/>
    </xf>
    <xf numFmtId="0" fontId="1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/>
      <protection locked="0"/>
    </xf>
    <xf numFmtId="173" fontId="4" fillId="0" borderId="12" xfId="57" applyBorder="1">
      <alignment/>
      <protection/>
    </xf>
    <xf numFmtId="173" fontId="3" fillId="0" borderId="32" xfId="57" applyFont="1" applyBorder="1" applyAlignment="1" applyProtection="1">
      <alignment horizontal="center"/>
      <protection/>
    </xf>
    <xf numFmtId="173" fontId="6" fillId="0" borderId="32" xfId="57" applyFont="1" applyBorder="1" applyAlignment="1" applyProtection="1">
      <alignment horizontal="center"/>
      <protection/>
    </xf>
    <xf numFmtId="173" fontId="6" fillId="0" borderId="36" xfId="57" applyFont="1" applyBorder="1" applyAlignment="1" applyProtection="1">
      <alignment horizontal="center"/>
      <protection/>
    </xf>
    <xf numFmtId="173" fontId="8" fillId="0" borderId="37" xfId="57" applyFont="1" applyBorder="1" applyAlignment="1" applyProtection="1">
      <alignment horizontal="center"/>
      <protection/>
    </xf>
    <xf numFmtId="173" fontId="8" fillId="0" borderId="28" xfId="57" applyFont="1" applyBorder="1" applyAlignment="1" applyProtection="1">
      <alignment horizontal="center"/>
      <protection/>
    </xf>
    <xf numFmtId="173" fontId="8" fillId="0" borderId="38" xfId="57" applyFont="1" applyBorder="1" applyAlignment="1" applyProtection="1">
      <alignment horizontal="center"/>
      <protection/>
    </xf>
    <xf numFmtId="173" fontId="8" fillId="0" borderId="39" xfId="57" applyFont="1" applyBorder="1" applyAlignment="1" applyProtection="1">
      <alignment horizontal="center"/>
      <protection/>
    </xf>
    <xf numFmtId="173" fontId="3" fillId="0" borderId="33" xfId="57" applyFont="1" applyBorder="1" applyProtection="1">
      <alignment/>
      <protection/>
    </xf>
    <xf numFmtId="173" fontId="4" fillId="0" borderId="33" xfId="57" applyBorder="1">
      <alignment/>
      <protection/>
    </xf>
    <xf numFmtId="173" fontId="8" fillId="0" borderId="40" xfId="57" applyFont="1" applyBorder="1" applyAlignment="1" applyProtection="1">
      <alignment horizontal="center"/>
      <protection/>
    </xf>
    <xf numFmtId="173" fontId="8" fillId="0" borderId="40" xfId="57" applyFont="1" applyBorder="1" applyAlignment="1" applyProtection="1" quotePrefix="1">
      <alignment horizontal="center"/>
      <protection/>
    </xf>
    <xf numFmtId="0" fontId="11" fillId="0" borderId="41" xfId="0" applyFont="1" applyBorder="1" applyAlignment="1">
      <alignment/>
    </xf>
    <xf numFmtId="173" fontId="4" fillId="0" borderId="36" xfId="57" applyBorder="1">
      <alignment/>
      <protection/>
    </xf>
    <xf numFmtId="173" fontId="8" fillId="0" borderId="42" xfId="57" applyFont="1" applyBorder="1" applyAlignment="1" applyProtection="1" quotePrefix="1">
      <alignment horizontal="center"/>
      <protection/>
    </xf>
    <xf numFmtId="173" fontId="6" fillId="34" borderId="22" xfId="57" applyFont="1" applyFill="1" applyBorder="1" applyAlignment="1" applyProtection="1">
      <alignment horizontal="center"/>
      <protection/>
    </xf>
    <xf numFmtId="173" fontId="6" fillId="0" borderId="23" xfId="57" applyFont="1" applyBorder="1" applyProtection="1">
      <alignment/>
      <protection/>
    </xf>
    <xf numFmtId="173" fontId="6" fillId="0" borderId="26" xfId="57" applyFont="1" applyBorder="1" applyProtection="1">
      <alignment/>
      <protection/>
    </xf>
    <xf numFmtId="173" fontId="6" fillId="0" borderId="27" xfId="57" applyFont="1" applyBorder="1" applyProtection="1">
      <alignment/>
      <protection/>
    </xf>
    <xf numFmtId="173" fontId="6" fillId="0" borderId="42" xfId="57" applyFont="1" applyBorder="1" applyProtection="1">
      <alignment/>
      <protection/>
    </xf>
    <xf numFmtId="173" fontId="6" fillId="0" borderId="43" xfId="57" applyFont="1" applyBorder="1" applyProtection="1">
      <alignment/>
      <protection/>
    </xf>
    <xf numFmtId="173" fontId="6" fillId="0" borderId="23" xfId="57" applyFont="1" applyBorder="1" applyAlignment="1" applyProtection="1">
      <alignment horizontal="center"/>
      <protection/>
    </xf>
    <xf numFmtId="173" fontId="3" fillId="0" borderId="44" xfId="57" applyFont="1" applyBorder="1" applyProtection="1">
      <alignment/>
      <protection/>
    </xf>
    <xf numFmtId="173" fontId="3" fillId="0" borderId="45" xfId="57" applyFont="1" applyBorder="1" applyProtection="1">
      <alignment/>
      <protection/>
    </xf>
    <xf numFmtId="173" fontId="6" fillId="0" borderId="46" xfId="57" applyFont="1" applyBorder="1" applyProtection="1">
      <alignment/>
      <protection/>
    </xf>
    <xf numFmtId="0" fontId="17" fillId="0" borderId="33" xfId="0" applyFont="1" applyBorder="1" applyAlignment="1" applyProtection="1">
      <alignment/>
      <protection/>
    </xf>
    <xf numFmtId="173" fontId="6" fillId="34" borderId="22" xfId="57" applyFont="1" applyFill="1" applyBorder="1" applyAlignment="1" applyProtection="1">
      <alignment horizontal="right"/>
      <protection/>
    </xf>
    <xf numFmtId="173" fontId="6" fillId="34" borderId="17" xfId="57" applyFont="1" applyFill="1" applyBorder="1" applyAlignment="1" applyProtection="1">
      <alignment horizontal="center"/>
      <protection/>
    </xf>
    <xf numFmtId="173" fontId="6" fillId="0" borderId="17" xfId="57" applyFont="1" applyBorder="1" applyAlignment="1" applyProtection="1">
      <alignment horizontal="center"/>
      <protection/>
    </xf>
    <xf numFmtId="173" fontId="6" fillId="0" borderId="22" xfId="57" applyFont="1" applyBorder="1" applyAlignment="1" applyProtection="1">
      <alignment horizontal="right"/>
      <protection/>
    </xf>
    <xf numFmtId="173" fontId="6" fillId="0" borderId="47" xfId="57" applyFont="1" applyBorder="1" applyAlignment="1" applyProtection="1">
      <alignment horizontal="right"/>
      <protection/>
    </xf>
    <xf numFmtId="173" fontId="6" fillId="0" borderId="10" xfId="57" applyFont="1" applyBorder="1" applyAlignment="1" applyProtection="1">
      <alignment horizontal="center"/>
      <protection/>
    </xf>
    <xf numFmtId="173" fontId="6" fillId="0" borderId="48" xfId="57" applyFont="1" applyBorder="1" applyAlignment="1" applyProtection="1">
      <alignment horizontal="center"/>
      <protection/>
    </xf>
    <xf numFmtId="173" fontId="6" fillId="0" borderId="33" xfId="57" applyFont="1" applyBorder="1" applyProtection="1">
      <alignment/>
      <protection/>
    </xf>
    <xf numFmtId="173" fontId="6" fillId="0" borderId="12" xfId="57" applyFont="1" applyBorder="1" applyProtection="1">
      <alignment/>
      <protection/>
    </xf>
    <xf numFmtId="173" fontId="6" fillId="0" borderId="17" xfId="57" applyFont="1" applyBorder="1" applyProtection="1">
      <alignment/>
      <protection/>
    </xf>
    <xf numFmtId="173" fontId="6" fillId="0" borderId="49" xfId="57" applyFont="1" applyBorder="1" applyProtection="1">
      <alignment/>
      <protection/>
    </xf>
    <xf numFmtId="173" fontId="6" fillId="36" borderId="12" xfId="57" applyFont="1" applyFill="1" applyBorder="1" applyAlignment="1" applyProtection="1">
      <alignment horizontal="left" indent="1"/>
      <protection locked="0"/>
    </xf>
    <xf numFmtId="173" fontId="6" fillId="36" borderId="49" xfId="57" applyFont="1" applyFill="1" applyBorder="1" applyAlignment="1" applyProtection="1">
      <alignment horizontal="left" indent="1"/>
      <protection locked="0"/>
    </xf>
    <xf numFmtId="173" fontId="6" fillId="0" borderId="50" xfId="57" applyFont="1" applyBorder="1" applyAlignment="1" applyProtection="1">
      <alignment horizontal="left" indent="1"/>
      <protection/>
    </xf>
    <xf numFmtId="173" fontId="6" fillId="0" borderId="51" xfId="57" applyFont="1" applyBorder="1" applyAlignment="1" applyProtection="1">
      <alignment horizontal="left" indent="1"/>
      <protection/>
    </xf>
    <xf numFmtId="173" fontId="6" fillId="0" borderId="25" xfId="57" applyFont="1" applyBorder="1" applyAlignment="1" applyProtection="1">
      <alignment horizontal="left" indent="1"/>
      <protection/>
    </xf>
    <xf numFmtId="173" fontId="6" fillId="0" borderId="52" xfId="57" applyFont="1" applyBorder="1" applyAlignment="1" applyProtection="1">
      <alignment horizontal="left" indent="1"/>
      <protection/>
    </xf>
    <xf numFmtId="0" fontId="16" fillId="0" borderId="33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173" fontId="6" fillId="0" borderId="46" xfId="57" applyFont="1" applyBorder="1" applyAlignment="1" applyProtection="1">
      <alignment horizontal="left" indent="1"/>
      <protection/>
    </xf>
    <xf numFmtId="173" fontId="6" fillId="0" borderId="10" xfId="57" applyFont="1" applyBorder="1" applyProtection="1">
      <alignment/>
      <protection/>
    </xf>
    <xf numFmtId="173" fontId="6" fillId="34" borderId="45" xfId="57" applyFont="1" applyFill="1" applyBorder="1" applyAlignment="1" applyProtection="1">
      <alignment horizontal="center"/>
      <protection/>
    </xf>
    <xf numFmtId="173" fontId="6" fillId="0" borderId="45" xfId="57" applyFont="1" applyBorder="1" applyAlignment="1" applyProtection="1">
      <alignment horizontal="center"/>
      <protection/>
    </xf>
    <xf numFmtId="173" fontId="6" fillId="0" borderId="11" xfId="57" applyFont="1" applyBorder="1" applyAlignment="1" applyProtection="1">
      <alignment horizontal="center"/>
      <protection/>
    </xf>
    <xf numFmtId="173" fontId="6" fillId="0" borderId="25" xfId="57" applyFont="1" applyBorder="1" applyAlignment="1" applyProtection="1">
      <alignment horizontal="right"/>
      <protection/>
    </xf>
    <xf numFmtId="173" fontId="6" fillId="34" borderId="25" xfId="57" applyFont="1" applyFill="1" applyBorder="1" applyAlignment="1" applyProtection="1">
      <alignment horizontal="right"/>
      <protection/>
    </xf>
    <xf numFmtId="173" fontId="6" fillId="0" borderId="46" xfId="57" applyFont="1" applyBorder="1" applyAlignment="1" applyProtection="1">
      <alignment horizontal="right"/>
      <protection/>
    </xf>
    <xf numFmtId="173" fontId="6" fillId="34" borderId="46" xfId="57" applyFont="1" applyFill="1" applyBorder="1" applyAlignment="1" applyProtection="1">
      <alignment horizontal="right"/>
      <protection/>
    </xf>
    <xf numFmtId="173" fontId="6" fillId="34" borderId="11" xfId="57" applyFont="1" applyFill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/>
      <protection locked="0"/>
    </xf>
    <xf numFmtId="0" fontId="4" fillId="0" borderId="54" xfId="0" applyFont="1" applyBorder="1" applyAlignment="1" applyProtection="1">
      <alignment horizontal="right"/>
      <protection locked="0"/>
    </xf>
    <xf numFmtId="0" fontId="4" fillId="0" borderId="55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173" fontId="4" fillId="0" borderId="27" xfId="57" applyBorder="1">
      <alignment/>
      <protection/>
    </xf>
    <xf numFmtId="173" fontId="15" fillId="34" borderId="17" xfId="57" applyFont="1" applyFill="1" applyBorder="1" applyAlignment="1" applyProtection="1">
      <alignment horizontal="center"/>
      <protection/>
    </xf>
    <xf numFmtId="173" fontId="15" fillId="0" borderId="25" xfId="57" applyFont="1" applyBorder="1" applyProtection="1">
      <alignment/>
      <protection/>
    </xf>
    <xf numFmtId="173" fontId="15" fillId="0" borderId="45" xfId="57" applyFont="1" applyBorder="1" applyProtection="1">
      <alignment/>
      <protection/>
    </xf>
    <xf numFmtId="173" fontId="15" fillId="0" borderId="12" xfId="57" applyFont="1" applyBorder="1" applyProtection="1">
      <alignment/>
      <protection/>
    </xf>
    <xf numFmtId="173" fontId="15" fillId="34" borderId="51" xfId="57" applyFont="1" applyFill="1" applyBorder="1" applyAlignment="1" applyProtection="1">
      <alignment horizontal="center"/>
      <protection/>
    </xf>
    <xf numFmtId="173" fontId="15" fillId="34" borderId="13" xfId="57" applyFont="1" applyFill="1" applyBorder="1" applyAlignment="1" applyProtection="1">
      <alignment horizontal="center"/>
      <protection/>
    </xf>
    <xf numFmtId="173" fontId="15" fillId="0" borderId="51" xfId="57" applyFont="1" applyBorder="1" applyProtection="1">
      <alignment/>
      <protection/>
    </xf>
    <xf numFmtId="173" fontId="15" fillId="0" borderId="13" xfId="57" applyFont="1" applyBorder="1" applyProtection="1">
      <alignment/>
      <protection/>
    </xf>
    <xf numFmtId="173" fontId="15" fillId="0" borderId="42" xfId="57" applyFont="1" applyBorder="1" applyProtection="1">
      <alignment/>
      <protection/>
    </xf>
    <xf numFmtId="173" fontId="15" fillId="0" borderId="49" xfId="57" applyFont="1" applyBorder="1" applyProtection="1">
      <alignment/>
      <protection/>
    </xf>
    <xf numFmtId="173" fontId="15" fillId="0" borderId="52" xfId="57" applyFont="1" applyBorder="1" applyProtection="1">
      <alignment/>
      <protection/>
    </xf>
    <xf numFmtId="173" fontId="15" fillId="0" borderId="30" xfId="57" applyFont="1" applyBorder="1" applyProtection="1">
      <alignment/>
      <protection/>
    </xf>
    <xf numFmtId="173" fontId="15" fillId="34" borderId="52" xfId="57" applyFont="1" applyFill="1" applyBorder="1" applyAlignment="1" applyProtection="1">
      <alignment horizontal="center"/>
      <protection/>
    </xf>
    <xf numFmtId="173" fontId="15" fillId="0" borderId="43" xfId="57" applyFont="1" applyBorder="1" applyProtection="1">
      <alignment/>
      <protection/>
    </xf>
    <xf numFmtId="173" fontId="6" fillId="34" borderId="17" xfId="57" applyFont="1" applyFill="1" applyBorder="1" applyAlignment="1" applyProtection="1">
      <alignment horizontal="center"/>
      <protection/>
    </xf>
    <xf numFmtId="173" fontId="6" fillId="0" borderId="45" xfId="57" applyFont="1" applyBorder="1" applyProtection="1">
      <alignment/>
      <protection/>
    </xf>
    <xf numFmtId="173" fontId="6" fillId="0" borderId="23" xfId="57" applyFont="1" applyBorder="1" applyProtection="1">
      <alignment/>
      <protection/>
    </xf>
    <xf numFmtId="173" fontId="6" fillId="34" borderId="13" xfId="57" applyFont="1" applyFill="1" applyBorder="1" applyAlignment="1" applyProtection="1">
      <alignment horizontal="center"/>
      <protection/>
    </xf>
    <xf numFmtId="173" fontId="6" fillId="0" borderId="13" xfId="57" applyFont="1" applyBorder="1" applyProtection="1">
      <alignment/>
      <protection/>
    </xf>
    <xf numFmtId="173" fontId="6" fillId="0" borderId="27" xfId="57" applyFont="1" applyBorder="1" applyProtection="1">
      <alignment/>
      <protection/>
    </xf>
    <xf numFmtId="173" fontId="6" fillId="34" borderId="12" xfId="57" applyFont="1" applyFill="1" applyBorder="1" applyAlignment="1" applyProtection="1">
      <alignment horizontal="center"/>
      <protection/>
    </xf>
    <xf numFmtId="173" fontId="6" fillId="0" borderId="30" xfId="57" applyFont="1" applyBorder="1" applyProtection="1">
      <alignment/>
      <protection/>
    </xf>
    <xf numFmtId="173" fontId="6" fillId="34" borderId="30" xfId="57" applyFont="1" applyFill="1" applyBorder="1" applyAlignment="1" applyProtection="1">
      <alignment horizontal="center"/>
      <protection/>
    </xf>
    <xf numFmtId="173" fontId="6" fillId="0" borderId="43" xfId="57" applyFont="1" applyBorder="1" applyProtection="1">
      <alignment/>
      <protection/>
    </xf>
    <xf numFmtId="173" fontId="6" fillId="34" borderId="22" xfId="57" applyFont="1" applyFill="1" applyBorder="1" applyAlignment="1" applyProtection="1">
      <alignment horizontal="right"/>
      <protection/>
    </xf>
    <xf numFmtId="173" fontId="6" fillId="0" borderId="26" xfId="57" applyFont="1" applyBorder="1" applyAlignment="1" applyProtection="1">
      <alignment horizontal="right"/>
      <protection/>
    </xf>
    <xf numFmtId="173" fontId="6" fillId="0" borderId="42" xfId="57" applyFont="1" applyBorder="1" applyAlignment="1" applyProtection="1">
      <alignment horizontal="right"/>
      <protection/>
    </xf>
    <xf numFmtId="173" fontId="6" fillId="0" borderId="25" xfId="57" applyFont="1" applyBorder="1" applyAlignment="1" applyProtection="1">
      <alignment horizontal="right"/>
      <protection/>
    </xf>
    <xf numFmtId="173" fontId="6" fillId="34" borderId="51" xfId="57" applyFont="1" applyFill="1" applyBorder="1" applyAlignment="1" applyProtection="1">
      <alignment horizontal="right"/>
      <protection/>
    </xf>
    <xf numFmtId="173" fontId="6" fillId="0" borderId="51" xfId="57" applyFont="1" applyBorder="1" applyAlignment="1" applyProtection="1">
      <alignment horizontal="right"/>
      <protection/>
    </xf>
    <xf numFmtId="173" fontId="6" fillId="0" borderId="52" xfId="57" applyFont="1" applyBorder="1" applyAlignment="1" applyProtection="1">
      <alignment horizontal="right"/>
      <protection/>
    </xf>
    <xf numFmtId="173" fontId="6" fillId="0" borderId="17" xfId="57" applyFont="1" applyBorder="1" applyAlignment="1" applyProtection="1">
      <alignment horizontal="right"/>
      <protection/>
    </xf>
    <xf numFmtId="173" fontId="6" fillId="0" borderId="12" xfId="57" applyFont="1" applyBorder="1" applyAlignment="1" applyProtection="1">
      <alignment horizontal="right"/>
      <protection/>
    </xf>
    <xf numFmtId="173" fontId="6" fillId="34" borderId="12" xfId="57" applyFont="1" applyFill="1" applyBorder="1" applyAlignment="1" applyProtection="1">
      <alignment horizontal="right"/>
      <protection/>
    </xf>
    <xf numFmtId="173" fontId="6" fillId="0" borderId="49" xfId="57" applyFont="1" applyBorder="1" applyAlignment="1" applyProtection="1">
      <alignment horizontal="right"/>
      <protection/>
    </xf>
    <xf numFmtId="173" fontId="6" fillId="34" borderId="52" xfId="57" applyFont="1" applyFill="1" applyBorder="1" applyAlignment="1" applyProtection="1">
      <alignment horizontal="right"/>
      <protection/>
    </xf>
    <xf numFmtId="0" fontId="16" fillId="0" borderId="54" xfId="0" applyFont="1" applyBorder="1" applyAlignment="1" applyProtection="1">
      <alignment horizontal="center"/>
      <protection locked="0"/>
    </xf>
    <xf numFmtId="173" fontId="6" fillId="0" borderId="25" xfId="57" applyFont="1" applyBorder="1" applyProtection="1">
      <alignment/>
      <protection/>
    </xf>
    <xf numFmtId="173" fontId="6" fillId="0" borderId="45" xfId="57" applyFont="1" applyBorder="1" applyProtection="1">
      <alignment/>
      <protection/>
    </xf>
    <xf numFmtId="173" fontId="6" fillId="0" borderId="17" xfId="57" applyFont="1" applyBorder="1" applyProtection="1">
      <alignment/>
      <protection/>
    </xf>
    <xf numFmtId="173" fontId="6" fillId="0" borderId="12" xfId="57" applyFont="1" applyBorder="1" applyProtection="1">
      <alignment/>
      <protection/>
    </xf>
    <xf numFmtId="173" fontId="6" fillId="34" borderId="51" xfId="57" applyFont="1" applyFill="1" applyBorder="1" applyAlignment="1" applyProtection="1">
      <alignment horizontal="center"/>
      <protection/>
    </xf>
    <xf numFmtId="173" fontId="6" fillId="34" borderId="13" xfId="57" applyFont="1" applyFill="1" applyBorder="1" applyAlignment="1" applyProtection="1">
      <alignment horizontal="center"/>
      <protection/>
    </xf>
    <xf numFmtId="173" fontId="6" fillId="0" borderId="51" xfId="57" applyFont="1" applyBorder="1" applyProtection="1">
      <alignment/>
      <protection/>
    </xf>
    <xf numFmtId="173" fontId="6" fillId="0" borderId="13" xfId="57" applyFont="1" applyBorder="1" applyProtection="1">
      <alignment/>
      <protection/>
    </xf>
    <xf numFmtId="173" fontId="6" fillId="34" borderId="12" xfId="57" applyFont="1" applyFill="1" applyBorder="1" applyAlignment="1" applyProtection="1">
      <alignment horizontal="center"/>
      <protection/>
    </xf>
    <xf numFmtId="173" fontId="6" fillId="0" borderId="49" xfId="57" applyFont="1" applyBorder="1" applyProtection="1">
      <alignment/>
      <protection/>
    </xf>
    <xf numFmtId="173" fontId="6" fillId="0" borderId="52" xfId="57" applyFont="1" applyBorder="1" applyProtection="1">
      <alignment/>
      <protection/>
    </xf>
    <xf numFmtId="173" fontId="6" fillId="0" borderId="30" xfId="57" applyFont="1" applyBorder="1" applyProtection="1">
      <alignment/>
      <protection/>
    </xf>
    <xf numFmtId="173" fontId="6" fillId="34" borderId="52" xfId="57" applyFont="1" applyFill="1" applyBorder="1" applyAlignment="1" applyProtection="1">
      <alignment horizontal="center"/>
      <protection/>
    </xf>
    <xf numFmtId="173" fontId="6" fillId="34" borderId="30" xfId="57" applyFont="1" applyFill="1" applyBorder="1" applyAlignment="1" applyProtection="1">
      <alignment horizontal="center"/>
      <protection/>
    </xf>
    <xf numFmtId="173" fontId="2" fillId="0" borderId="33" xfId="57" applyFont="1" applyFill="1" applyBorder="1" applyAlignment="1" applyProtection="1">
      <alignment horizontal="left"/>
      <protection locked="0"/>
    </xf>
    <xf numFmtId="173" fontId="12" fillId="0" borderId="50" xfId="57" applyFont="1" applyFill="1" applyBorder="1" applyAlignment="1">
      <alignment horizontal="left"/>
      <protection/>
    </xf>
    <xf numFmtId="0" fontId="13" fillId="0" borderId="33" xfId="0" applyFont="1" applyFill="1" applyBorder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173" fontId="7" fillId="0" borderId="58" xfId="57" applyFont="1" applyBorder="1" applyAlignment="1">
      <alignment horizontal="center"/>
      <protection/>
    </xf>
    <xf numFmtId="173" fontId="15" fillId="34" borderId="43" xfId="57" applyFont="1" applyFill="1" applyBorder="1" applyAlignment="1" applyProtection="1">
      <alignment horizontal="center"/>
      <protection/>
    </xf>
    <xf numFmtId="173" fontId="16" fillId="0" borderId="38" xfId="57" applyFont="1" applyBorder="1" applyAlignment="1" applyProtection="1">
      <alignment/>
      <protection/>
    </xf>
    <xf numFmtId="173" fontId="16" fillId="0" borderId="46" xfId="57" applyFont="1" applyBorder="1" applyAlignment="1" applyProtection="1">
      <alignment/>
      <protection/>
    </xf>
    <xf numFmtId="0" fontId="10" fillId="0" borderId="23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6" xfId="0" applyFont="1" applyBorder="1" applyAlignment="1">
      <alignment horizontal="left" indent="1"/>
    </xf>
    <xf numFmtId="173" fontId="15" fillId="34" borderId="49" xfId="57" applyFont="1" applyFill="1" applyBorder="1" applyAlignment="1" applyProtection="1">
      <alignment horizontal="center"/>
      <protection/>
    </xf>
    <xf numFmtId="173" fontId="15" fillId="34" borderId="22" xfId="57" applyFont="1" applyFill="1" applyBorder="1" applyAlignment="1" applyProtection="1">
      <alignment horizontal="right"/>
      <protection/>
    </xf>
    <xf numFmtId="173" fontId="15" fillId="0" borderId="26" xfId="57" applyFont="1" applyBorder="1" applyAlignment="1" applyProtection="1">
      <alignment horizontal="right"/>
      <protection/>
    </xf>
    <xf numFmtId="173" fontId="15" fillId="0" borderId="42" xfId="57" applyFont="1" applyBorder="1" applyAlignment="1" applyProtection="1">
      <alignment horizontal="right"/>
      <protection/>
    </xf>
    <xf numFmtId="173" fontId="15" fillId="0" borderId="22" xfId="57" applyFont="1" applyBorder="1" applyAlignment="1" applyProtection="1">
      <alignment horizontal="right"/>
      <protection/>
    </xf>
    <xf numFmtId="173" fontId="15" fillId="34" borderId="26" xfId="57" applyFont="1" applyFill="1" applyBorder="1" applyAlignment="1" applyProtection="1">
      <alignment horizontal="right"/>
      <protection/>
    </xf>
    <xf numFmtId="173" fontId="15" fillId="34" borderId="12" xfId="57" applyFont="1" applyFill="1" applyBorder="1" applyAlignment="1" applyProtection="1">
      <alignment horizontal="right"/>
      <protection/>
    </xf>
    <xf numFmtId="173" fontId="15" fillId="34" borderId="49" xfId="57" applyFont="1" applyFill="1" applyBorder="1" applyAlignment="1" applyProtection="1">
      <alignment horizontal="right"/>
      <protection/>
    </xf>
    <xf numFmtId="173" fontId="6" fillId="0" borderId="50" xfId="57" applyFont="1" applyBorder="1" applyAlignment="1" applyProtection="1">
      <alignment/>
      <protection locked="0"/>
    </xf>
    <xf numFmtId="173" fontId="6" fillId="0" borderId="50" xfId="57" applyFont="1" applyBorder="1" applyAlignment="1" applyProtection="1">
      <alignment horizontal="left"/>
      <protection locked="0"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11" fillId="0" borderId="63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/>
    </xf>
    <xf numFmtId="0" fontId="11" fillId="0" borderId="67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70" xfId="0" applyFont="1" applyBorder="1" applyAlignment="1">
      <alignment/>
    </xf>
    <xf numFmtId="0" fontId="11" fillId="0" borderId="71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73" fontId="6" fillId="36" borderId="72" xfId="57" applyFont="1" applyFill="1" applyBorder="1" applyAlignment="1" applyProtection="1">
      <alignment horizontal="left"/>
      <protection locked="0"/>
    </xf>
    <xf numFmtId="173" fontId="6" fillId="36" borderId="73" xfId="57" applyFont="1" applyFill="1" applyBorder="1" applyAlignment="1" applyProtection="1">
      <alignment horizontal="left"/>
      <protection locked="0"/>
    </xf>
    <xf numFmtId="173" fontId="6" fillId="36" borderId="74" xfId="57" applyFont="1" applyFill="1" applyBorder="1" applyAlignment="1" applyProtection="1">
      <alignment horizontal="left"/>
      <protection locked="0"/>
    </xf>
    <xf numFmtId="0" fontId="16" fillId="0" borderId="33" xfId="0" applyFont="1" applyBorder="1" applyAlignment="1" applyProtection="1">
      <alignment horizontal="center"/>
      <protection/>
    </xf>
    <xf numFmtId="0" fontId="16" fillId="0" borderId="54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173" fontId="16" fillId="0" borderId="24" xfId="57" applyFont="1" applyBorder="1" applyAlignment="1" applyProtection="1">
      <alignment horizontal="center"/>
      <protection/>
    </xf>
    <xf numFmtId="173" fontId="16" fillId="0" borderId="25" xfId="57" applyFont="1" applyBorder="1" applyAlignment="1" applyProtection="1">
      <alignment horizontal="center"/>
      <protection/>
    </xf>
    <xf numFmtId="173" fontId="16" fillId="0" borderId="75" xfId="57" applyFont="1" applyBorder="1" applyAlignment="1" applyProtection="1">
      <alignment horizontal="center"/>
      <protection/>
    </xf>
    <xf numFmtId="173" fontId="16" fillId="0" borderId="46" xfId="57" applyFont="1" applyBorder="1" applyAlignment="1" applyProtection="1">
      <alignment horizontal="center"/>
      <protection/>
    </xf>
    <xf numFmtId="173" fontId="16" fillId="0" borderId="76" xfId="57" applyFont="1" applyBorder="1" applyAlignment="1" applyProtection="1">
      <alignment horizontal="right"/>
      <protection/>
    </xf>
    <xf numFmtId="0" fontId="14" fillId="0" borderId="77" xfId="0" applyNumberFormat="1" applyFont="1" applyBorder="1" applyAlignment="1">
      <alignment horizontal="center"/>
    </xf>
    <xf numFmtId="173" fontId="16" fillId="0" borderId="78" xfId="57" applyFont="1" applyBorder="1" applyAlignment="1" applyProtection="1">
      <alignment horizontal="right"/>
      <protection/>
    </xf>
    <xf numFmtId="0" fontId="14" fillId="0" borderId="79" xfId="0" applyNumberFormat="1" applyFont="1" applyBorder="1" applyAlignment="1">
      <alignment horizontal="center"/>
    </xf>
    <xf numFmtId="173" fontId="16" fillId="0" borderId="75" xfId="57" applyFont="1" applyBorder="1" applyAlignment="1" applyProtection="1">
      <alignment horizontal="right"/>
      <protection/>
    </xf>
    <xf numFmtId="0" fontId="14" fillId="0" borderId="80" xfId="0" applyNumberFormat="1" applyFont="1" applyBorder="1" applyAlignment="1">
      <alignment horizontal="center"/>
    </xf>
    <xf numFmtId="173" fontId="16" fillId="0" borderId="81" xfId="57" applyFont="1" applyBorder="1" applyAlignment="1" applyProtection="1">
      <alignment horizontal="right"/>
      <protection/>
    </xf>
    <xf numFmtId="0" fontId="14" fillId="0" borderId="82" xfId="0" applyNumberFormat="1" applyFont="1" applyBorder="1" applyAlignment="1">
      <alignment horizontal="center"/>
    </xf>
    <xf numFmtId="173" fontId="16" fillId="0" borderId="83" xfId="57" applyFont="1" applyBorder="1" applyAlignment="1" applyProtection="1">
      <alignment horizontal="right"/>
      <protection/>
    </xf>
    <xf numFmtId="0" fontId="14" fillId="0" borderId="84" xfId="0" applyNumberFormat="1" applyFont="1" applyBorder="1" applyAlignment="1">
      <alignment horizontal="center"/>
    </xf>
    <xf numFmtId="173" fontId="16" fillId="0" borderId="85" xfId="57" applyFont="1" applyBorder="1" applyAlignment="1" applyProtection="1">
      <alignment horizontal="right"/>
      <protection/>
    </xf>
    <xf numFmtId="0" fontId="14" fillId="0" borderId="86" xfId="0" applyNumberFormat="1" applyFont="1" applyBorder="1" applyAlignment="1">
      <alignment horizontal="center"/>
    </xf>
    <xf numFmtId="173" fontId="16" fillId="0" borderId="87" xfId="57" applyFont="1" applyBorder="1" applyAlignment="1" applyProtection="1">
      <alignment horizontal="right"/>
      <protection/>
    </xf>
    <xf numFmtId="0" fontId="14" fillId="0" borderId="88" xfId="0" applyNumberFormat="1" applyFont="1" applyBorder="1" applyAlignment="1">
      <alignment horizontal="center"/>
    </xf>
    <xf numFmtId="173" fontId="16" fillId="0" borderId="24" xfId="57" applyFont="1" applyBorder="1" applyAlignment="1" applyProtection="1">
      <alignment horizontal="right"/>
      <protection/>
    </xf>
    <xf numFmtId="173" fontId="24" fillId="36" borderId="89" xfId="57" applyFont="1" applyFill="1" applyBorder="1" applyAlignment="1" applyProtection="1">
      <alignment horizontal="center"/>
      <protection locked="0"/>
    </xf>
    <xf numFmtId="173" fontId="24" fillId="36" borderId="90" xfId="57" applyFont="1" applyFill="1" applyBorder="1" applyAlignment="1" applyProtection="1">
      <alignment horizontal="center"/>
      <protection locked="0"/>
    </xf>
    <xf numFmtId="173" fontId="16" fillId="0" borderId="91" xfId="57" applyFont="1" applyBorder="1" applyAlignment="1" applyProtection="1">
      <alignment horizontal="right"/>
      <protection/>
    </xf>
    <xf numFmtId="173" fontId="16" fillId="0" borderId="92" xfId="57" applyFont="1" applyBorder="1" applyAlignment="1" applyProtection="1">
      <alignment horizontal="right"/>
      <protection/>
    </xf>
    <xf numFmtId="173" fontId="16" fillId="0" borderId="93" xfId="57" applyFont="1" applyBorder="1" applyAlignment="1" applyProtection="1">
      <alignment horizontal="right"/>
      <protection/>
    </xf>
    <xf numFmtId="0" fontId="14" fillId="0" borderId="94" xfId="0" applyNumberFormat="1" applyFont="1" applyBorder="1" applyAlignment="1">
      <alignment horizontal="center"/>
    </xf>
    <xf numFmtId="0" fontId="14" fillId="0" borderId="95" xfId="0" applyNumberFormat="1" applyFont="1" applyBorder="1" applyAlignment="1">
      <alignment horizontal="center"/>
    </xf>
    <xf numFmtId="0" fontId="14" fillId="0" borderId="96" xfId="0" applyNumberFormat="1" applyFont="1" applyBorder="1" applyAlignment="1">
      <alignment horizontal="center"/>
    </xf>
    <xf numFmtId="173" fontId="8" fillId="0" borderId="0" xfId="57" applyFont="1" applyFill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/>
      <protection locked="0"/>
    </xf>
    <xf numFmtId="173" fontId="8" fillId="0" borderId="0" xfId="57" applyFont="1" applyBorder="1" applyAlignment="1" applyProtection="1">
      <alignment horizontal="center"/>
      <protection/>
    </xf>
    <xf numFmtId="173" fontId="8" fillId="0" borderId="0" xfId="57" applyFont="1" applyBorder="1" applyAlignment="1" applyProtection="1" quotePrefix="1">
      <alignment horizontal="center"/>
      <protection/>
    </xf>
    <xf numFmtId="173" fontId="8" fillId="0" borderId="49" xfId="57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54" xfId="0" applyFont="1" applyBorder="1" applyAlignment="1" applyProtection="1">
      <alignment/>
      <protection locked="0"/>
    </xf>
    <xf numFmtId="173" fontId="8" fillId="0" borderId="10" xfId="57" applyFont="1" applyBorder="1" applyAlignment="1" applyProtection="1">
      <alignment horizontal="center"/>
      <protection/>
    </xf>
    <xf numFmtId="173" fontId="8" fillId="0" borderId="26" xfId="57" applyFont="1" applyBorder="1" applyAlignment="1" applyProtection="1">
      <alignment horizontal="center"/>
      <protection/>
    </xf>
    <xf numFmtId="173" fontId="8" fillId="0" borderId="22" xfId="57" applyFont="1" applyBorder="1" applyAlignment="1" applyProtection="1">
      <alignment horizontal="center"/>
      <protection/>
    </xf>
    <xf numFmtId="173" fontId="8" fillId="0" borderId="47" xfId="57" applyFont="1" applyBorder="1" applyAlignment="1" applyProtection="1">
      <alignment horizontal="center"/>
      <protection/>
    </xf>
    <xf numFmtId="173" fontId="3" fillId="0" borderId="98" xfId="57" applyFont="1" applyBorder="1" applyAlignment="1" applyProtection="1">
      <alignment horizontal="center"/>
      <protection/>
    </xf>
    <xf numFmtId="173" fontId="8" fillId="0" borderId="98" xfId="57" applyFont="1" applyBorder="1" applyAlignment="1" applyProtection="1">
      <alignment horizontal="center"/>
      <protection/>
    </xf>
    <xf numFmtId="173" fontId="8" fillId="36" borderId="14" xfId="57" applyFont="1" applyFill="1" applyBorder="1" applyAlignment="1" applyProtection="1">
      <alignment horizontal="center"/>
      <protection/>
    </xf>
    <xf numFmtId="173" fontId="8" fillId="36" borderId="99" xfId="57" applyFont="1" applyFill="1" applyBorder="1" applyAlignment="1" applyProtection="1">
      <alignment horizontal="center"/>
      <protection/>
    </xf>
    <xf numFmtId="0" fontId="10" fillId="0" borderId="17" xfId="0" applyFont="1" applyBorder="1" applyAlignment="1">
      <alignment horizontal="left" indent="1"/>
    </xf>
    <xf numFmtId="0" fontId="22" fillId="0" borderId="0" xfId="0" applyFont="1" applyAlignment="1">
      <alignment/>
    </xf>
    <xf numFmtId="0" fontId="25" fillId="35" borderId="0" xfId="0" applyFont="1" applyFill="1" applyAlignment="1">
      <alignment/>
    </xf>
    <xf numFmtId="173" fontId="6" fillId="36" borderId="100" xfId="57" applyFont="1" applyFill="1" applyBorder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173" fontId="8" fillId="34" borderId="22" xfId="57" applyFont="1" applyFill="1" applyBorder="1" applyAlignment="1" applyProtection="1">
      <alignment horizontal="center"/>
      <protection/>
    </xf>
    <xf numFmtId="173" fontId="8" fillId="34" borderId="17" xfId="57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10" fillId="0" borderId="14" xfId="0" applyFont="1" applyBorder="1" applyAlignment="1" quotePrefix="1">
      <alignment horizontal="center"/>
    </xf>
    <xf numFmtId="173" fontId="26" fillId="0" borderId="14" xfId="57" applyFont="1" applyBorder="1" applyAlignment="1" applyProtection="1">
      <alignment horizontal="center"/>
      <protection/>
    </xf>
    <xf numFmtId="173" fontId="26" fillId="0" borderId="103" xfId="57" applyFont="1" applyBorder="1" applyAlignment="1" applyProtection="1">
      <alignment horizontal="center"/>
      <protection/>
    </xf>
    <xf numFmtId="173" fontId="26" fillId="0" borderId="104" xfId="57" applyFont="1" applyBorder="1" applyAlignment="1" applyProtection="1">
      <alignment horizontal="center"/>
      <protection/>
    </xf>
    <xf numFmtId="0" fontId="11" fillId="0" borderId="105" xfId="0" applyFont="1" applyBorder="1" applyAlignment="1">
      <alignment/>
    </xf>
    <xf numFmtId="0" fontId="11" fillId="0" borderId="106" xfId="0" applyFont="1" applyBorder="1" applyAlignment="1">
      <alignment/>
    </xf>
    <xf numFmtId="0" fontId="9" fillId="0" borderId="107" xfId="0" applyFont="1" applyBorder="1" applyAlignment="1">
      <alignment/>
    </xf>
    <xf numFmtId="0" fontId="9" fillId="0" borderId="108" xfId="0" applyFont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36" xfId="0" applyFont="1" applyBorder="1" applyAlignment="1">
      <alignment/>
    </xf>
    <xf numFmtId="173" fontId="26" fillId="0" borderId="17" xfId="57" applyFont="1" applyBorder="1" applyAlignment="1" applyProtection="1">
      <alignment horizontal="center"/>
      <protection/>
    </xf>
    <xf numFmtId="0" fontId="9" fillId="0" borderId="108" xfId="0" applyFont="1" applyBorder="1" applyAlignment="1">
      <alignment horizontal="center"/>
    </xf>
    <xf numFmtId="173" fontId="8" fillId="34" borderId="47" xfId="57" applyFont="1" applyFill="1" applyBorder="1" applyAlignment="1" applyProtection="1">
      <alignment horizontal="center"/>
      <protection/>
    </xf>
    <xf numFmtId="173" fontId="8" fillId="34" borderId="10" xfId="57" applyFont="1" applyFill="1" applyBorder="1" applyAlignment="1" applyProtection="1">
      <alignment horizontal="center"/>
      <protection/>
    </xf>
    <xf numFmtId="0" fontId="10" fillId="0" borderId="109" xfId="0" applyFont="1" applyBorder="1" applyAlignment="1">
      <alignment/>
    </xf>
    <xf numFmtId="0" fontId="10" fillId="0" borderId="110" xfId="0" applyFont="1" applyBorder="1" applyAlignment="1">
      <alignment/>
    </xf>
    <xf numFmtId="173" fontId="8" fillId="34" borderId="111" xfId="57" applyFont="1" applyFill="1" applyBorder="1" applyAlignment="1" applyProtection="1">
      <alignment horizontal="center"/>
      <protection/>
    </xf>
    <xf numFmtId="0" fontId="9" fillId="0" borderId="112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173" fontId="8" fillId="34" borderId="114" xfId="57" applyFont="1" applyFill="1" applyBorder="1" applyAlignment="1" applyProtection="1">
      <alignment horizontal="center"/>
      <protection/>
    </xf>
    <xf numFmtId="173" fontId="8" fillId="34" borderId="115" xfId="57" applyFont="1" applyFill="1" applyBorder="1" applyAlignment="1" applyProtection="1">
      <alignment horizontal="center"/>
      <protection/>
    </xf>
    <xf numFmtId="173" fontId="26" fillId="0" borderId="99" xfId="57" applyFont="1" applyBorder="1" applyAlignment="1" applyProtection="1">
      <alignment horizontal="center"/>
      <protection/>
    </xf>
    <xf numFmtId="173" fontId="26" fillId="0" borderId="116" xfId="57" applyFont="1" applyBorder="1" applyAlignment="1" applyProtection="1">
      <alignment horizontal="center"/>
      <protection/>
    </xf>
    <xf numFmtId="0" fontId="9" fillId="0" borderId="117" xfId="0" applyFont="1" applyBorder="1" applyAlignment="1">
      <alignment/>
    </xf>
    <xf numFmtId="0" fontId="9" fillId="0" borderId="118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9" fillId="0" borderId="120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173" fontId="26" fillId="0" borderId="10" xfId="57" applyFont="1" applyBorder="1" applyAlignment="1" applyProtection="1">
      <alignment horizontal="center"/>
      <protection/>
    </xf>
    <xf numFmtId="173" fontId="8" fillId="34" borderId="0" xfId="57" applyFont="1" applyFill="1" applyBorder="1" applyAlignment="1" applyProtection="1">
      <alignment horizontal="center"/>
      <protection/>
    </xf>
    <xf numFmtId="0" fontId="9" fillId="0" borderId="124" xfId="0" applyFont="1" applyBorder="1" applyAlignment="1">
      <alignment horizontal="center"/>
    </xf>
    <xf numFmtId="0" fontId="9" fillId="0" borderId="125" xfId="0" applyFont="1" applyBorder="1" applyAlignment="1">
      <alignment horizontal="center"/>
    </xf>
    <xf numFmtId="173" fontId="8" fillId="34" borderId="126" xfId="57" applyFont="1" applyFill="1" applyBorder="1" applyAlignment="1" applyProtection="1">
      <alignment horizontal="center"/>
      <protection/>
    </xf>
    <xf numFmtId="173" fontId="8" fillId="34" borderId="127" xfId="57" applyFont="1" applyFill="1" applyBorder="1" applyAlignment="1" applyProtection="1">
      <alignment horizontal="center"/>
      <protection/>
    </xf>
    <xf numFmtId="173" fontId="8" fillId="34" borderId="128" xfId="57" applyFont="1" applyFill="1" applyBorder="1" applyAlignment="1" applyProtection="1">
      <alignment horizontal="center"/>
      <protection/>
    </xf>
    <xf numFmtId="173" fontId="8" fillId="34" borderId="129" xfId="57" applyFont="1" applyFill="1" applyBorder="1" applyAlignment="1" applyProtection="1">
      <alignment horizontal="center"/>
      <protection/>
    </xf>
    <xf numFmtId="173" fontId="8" fillId="34" borderId="130" xfId="57" applyFont="1" applyFill="1" applyBorder="1" applyAlignment="1" applyProtection="1">
      <alignment horizontal="center"/>
      <protection/>
    </xf>
    <xf numFmtId="173" fontId="8" fillId="34" borderId="131" xfId="57" applyFont="1" applyFill="1" applyBorder="1" applyAlignment="1" applyProtection="1">
      <alignment horizontal="center"/>
      <protection/>
    </xf>
    <xf numFmtId="0" fontId="9" fillId="0" borderId="132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9" fillId="0" borderId="134" xfId="0" applyFont="1" applyBorder="1" applyAlignment="1">
      <alignment horizontal="center"/>
    </xf>
    <xf numFmtId="0" fontId="10" fillId="0" borderId="101" xfId="0" applyFont="1" applyBorder="1" applyAlignment="1">
      <alignment/>
    </xf>
    <xf numFmtId="0" fontId="10" fillId="0" borderId="135" xfId="0" applyFont="1" applyBorder="1" applyAlignment="1">
      <alignment/>
    </xf>
    <xf numFmtId="0" fontId="0" fillId="0" borderId="135" xfId="0" applyBorder="1" applyAlignment="1">
      <alignment/>
    </xf>
    <xf numFmtId="173" fontId="26" fillId="0" borderId="25" xfId="57" applyFont="1" applyBorder="1" applyAlignment="1" applyProtection="1">
      <alignment horizontal="center"/>
      <protection/>
    </xf>
    <xf numFmtId="173" fontId="26" fillId="0" borderId="136" xfId="57" applyFont="1" applyBorder="1" applyAlignment="1" applyProtection="1">
      <alignment horizontal="center"/>
      <protection/>
    </xf>
    <xf numFmtId="173" fontId="26" fillId="0" borderId="46" xfId="57" applyFont="1" applyBorder="1" applyAlignment="1" applyProtection="1">
      <alignment horizontal="center"/>
      <protection/>
    </xf>
    <xf numFmtId="0" fontId="9" fillId="0" borderId="137" xfId="0" applyFont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9" fillId="0" borderId="130" xfId="0" applyFont="1" applyBorder="1" applyAlignment="1">
      <alignment horizontal="center"/>
    </xf>
    <xf numFmtId="0" fontId="9" fillId="0" borderId="141" xfId="0" applyFont="1" applyBorder="1" applyAlignment="1">
      <alignment horizontal="center"/>
    </xf>
    <xf numFmtId="173" fontId="8" fillId="34" borderId="142" xfId="57" applyFont="1" applyFill="1" applyBorder="1" applyAlignment="1" applyProtection="1">
      <alignment horizontal="center"/>
      <protection/>
    </xf>
    <xf numFmtId="0" fontId="9" fillId="0" borderId="135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9" fillId="0" borderId="14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4" xfId="0" applyFont="1" applyBorder="1" applyAlignment="1">
      <alignment horizontal="center"/>
    </xf>
    <xf numFmtId="0" fontId="9" fillId="0" borderId="145" xfId="0" applyFont="1" applyBorder="1" applyAlignment="1">
      <alignment horizontal="center"/>
    </xf>
    <xf numFmtId="173" fontId="6" fillId="0" borderId="35" xfId="57" applyFont="1" applyBorder="1" applyAlignment="1" applyProtection="1">
      <alignment horizontal="left" indent="1"/>
      <protection/>
    </xf>
    <xf numFmtId="173" fontId="23" fillId="0" borderId="97" xfId="57" applyFont="1" applyBorder="1" applyAlignment="1">
      <alignment horizontal="center"/>
      <protection/>
    </xf>
    <xf numFmtId="173" fontId="8" fillId="0" borderId="146" xfId="57" applyFont="1" applyBorder="1" applyAlignment="1" applyProtection="1">
      <alignment horizontal="center"/>
      <protection/>
    </xf>
    <xf numFmtId="173" fontId="23" fillId="0" borderId="98" xfId="57" applyFont="1" applyBorder="1" applyAlignment="1">
      <alignment horizontal="center"/>
      <protection/>
    </xf>
    <xf numFmtId="173" fontId="8" fillId="0" borderId="97" xfId="57" applyFont="1" applyBorder="1" applyAlignment="1" applyProtection="1">
      <alignment horizontal="center"/>
      <protection/>
    </xf>
    <xf numFmtId="173" fontId="7" fillId="0" borderId="97" xfId="57" applyFont="1" applyBorder="1" applyAlignment="1" quotePrefix="1">
      <alignment horizontal="center"/>
      <protection/>
    </xf>
    <xf numFmtId="173" fontId="7" fillId="0" borderId="97" xfId="57" applyFont="1" applyBorder="1" applyAlignment="1">
      <alignment horizontal="center"/>
      <protection/>
    </xf>
    <xf numFmtId="0" fontId="0" fillId="0" borderId="41" xfId="0" applyBorder="1" applyAlignment="1">
      <alignment/>
    </xf>
    <xf numFmtId="0" fontId="9" fillId="0" borderId="117" xfId="0" applyFont="1" applyBorder="1" applyAlignment="1">
      <alignment horizontal="center"/>
    </xf>
    <xf numFmtId="2" fontId="9" fillId="37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1" xfId="0" applyFont="1" applyBorder="1" applyAlignment="1">
      <alignment horizontal="left"/>
    </xf>
    <xf numFmtId="0" fontId="9" fillId="38" borderId="14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47" xfId="0" applyNumberFormat="1" applyFont="1" applyFill="1" applyBorder="1" applyAlignment="1">
      <alignment horizontal="center"/>
    </xf>
    <xf numFmtId="0" fontId="30" fillId="0" borderId="14" xfId="0" applyFont="1" applyBorder="1" applyAlignment="1">
      <alignment/>
    </xf>
    <xf numFmtId="0" fontId="9" fillId="0" borderId="148" xfId="0" applyFont="1" applyBorder="1" applyAlignment="1">
      <alignment horizontal="center"/>
    </xf>
    <xf numFmtId="0" fontId="9" fillId="0" borderId="149" xfId="0" applyFont="1" applyBorder="1" applyAlignment="1">
      <alignment horizontal="center"/>
    </xf>
    <xf numFmtId="0" fontId="9" fillId="0" borderId="150" xfId="0" applyFont="1" applyBorder="1" applyAlignment="1">
      <alignment/>
    </xf>
    <xf numFmtId="0" fontId="0" fillId="0" borderId="117" xfId="0" applyBorder="1" applyAlignment="1">
      <alignment/>
    </xf>
    <xf numFmtId="173" fontId="9" fillId="0" borderId="133" xfId="0" applyNumberFormat="1" applyFont="1" applyBorder="1" applyAlignment="1">
      <alignment horizontal="center"/>
    </xf>
    <xf numFmtId="0" fontId="10" fillId="0" borderId="151" xfId="0" applyFont="1" applyBorder="1" applyAlignment="1">
      <alignment/>
    </xf>
    <xf numFmtId="0" fontId="10" fillId="0" borderId="152" xfId="0" applyFont="1" applyBorder="1" applyAlignment="1">
      <alignment/>
    </xf>
    <xf numFmtId="0" fontId="0" fillId="0" borderId="152" xfId="0" applyBorder="1" applyAlignment="1">
      <alignment/>
    </xf>
    <xf numFmtId="0" fontId="9" fillId="0" borderId="153" xfId="0" applyFont="1" applyBorder="1" applyAlignment="1">
      <alignment/>
    </xf>
    <xf numFmtId="0" fontId="0" fillId="0" borderId="154" xfId="0" applyBorder="1" applyAlignment="1">
      <alignment/>
    </xf>
    <xf numFmtId="173" fontId="9" fillId="0" borderId="155" xfId="0" applyNumberFormat="1" applyFont="1" applyBorder="1" applyAlignment="1">
      <alignment horizontal="center"/>
    </xf>
    <xf numFmtId="173" fontId="9" fillId="0" borderId="112" xfId="0" applyNumberFormat="1" applyFont="1" applyBorder="1" applyAlignment="1">
      <alignment horizontal="center"/>
    </xf>
    <xf numFmtId="173" fontId="9" fillId="0" borderId="113" xfId="0" applyNumberFormat="1" applyFont="1" applyBorder="1" applyAlignment="1">
      <alignment horizontal="center"/>
    </xf>
    <xf numFmtId="173" fontId="9" fillId="0" borderId="138" xfId="0" applyNumberFormat="1" applyFont="1" applyBorder="1" applyAlignment="1">
      <alignment horizontal="center"/>
    </xf>
    <xf numFmtId="0" fontId="9" fillId="0" borderId="156" xfId="0" applyFont="1" applyBorder="1" applyAlignment="1">
      <alignment/>
    </xf>
    <xf numFmtId="0" fontId="9" fillId="37" borderId="157" xfId="0" applyFont="1" applyFill="1" applyBorder="1" applyAlignment="1">
      <alignment horizontal="center"/>
    </xf>
    <xf numFmtId="0" fontId="9" fillId="37" borderId="158" xfId="0" applyFont="1" applyFill="1" applyBorder="1" applyAlignment="1">
      <alignment horizontal="center"/>
    </xf>
    <xf numFmtId="0" fontId="9" fillId="37" borderId="159" xfId="0" applyFont="1" applyFill="1" applyBorder="1" applyAlignment="1">
      <alignment horizontal="center"/>
    </xf>
    <xf numFmtId="0" fontId="9" fillId="37" borderId="160" xfId="0" applyFont="1" applyFill="1" applyBorder="1" applyAlignment="1">
      <alignment horizontal="center"/>
    </xf>
    <xf numFmtId="0" fontId="9" fillId="37" borderId="161" xfId="0" applyFont="1" applyFill="1" applyBorder="1" applyAlignment="1">
      <alignment horizontal="center"/>
    </xf>
    <xf numFmtId="173" fontId="9" fillId="0" borderId="12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73" fontId="4" fillId="0" borderId="0" xfId="57" applyFill="1">
      <alignment/>
      <protection/>
    </xf>
    <xf numFmtId="173" fontId="7" fillId="0" borderId="0" xfId="57" applyFont="1" applyFill="1" applyBorder="1" applyAlignment="1">
      <alignment horizontal="center"/>
      <protection/>
    </xf>
    <xf numFmtId="173" fontId="24" fillId="0" borderId="0" xfId="57" applyFont="1" applyFill="1" applyBorder="1" applyAlignment="1" applyProtection="1">
      <alignment horizontal="center"/>
      <protection locked="0"/>
    </xf>
    <xf numFmtId="173" fontId="4" fillId="0" borderId="0" xfId="57" applyFill="1" applyBorder="1" applyAlignment="1">
      <alignment horizontal="center"/>
      <protection/>
    </xf>
    <xf numFmtId="0" fontId="0" fillId="0" borderId="135" xfId="0" applyBorder="1" applyAlignment="1">
      <alignment horizontal="center"/>
    </xf>
    <xf numFmtId="0" fontId="30" fillId="0" borderId="41" xfId="0" applyFont="1" applyBorder="1" applyAlignment="1">
      <alignment/>
    </xf>
    <xf numFmtId="0" fontId="10" fillId="39" borderId="101" xfId="0" applyFont="1" applyFill="1" applyBorder="1" applyAlignment="1">
      <alignment/>
    </xf>
    <xf numFmtId="0" fontId="0" fillId="39" borderId="135" xfId="0" applyFill="1" applyBorder="1" applyAlignment="1">
      <alignment/>
    </xf>
    <xf numFmtId="0" fontId="0" fillId="39" borderId="41" xfId="0" applyFill="1" applyBorder="1" applyAlignment="1">
      <alignment/>
    </xf>
    <xf numFmtId="0" fontId="10" fillId="39" borderId="101" xfId="0" applyFont="1" applyFill="1" applyBorder="1" applyAlignment="1">
      <alignment horizontal="left"/>
    </xf>
    <xf numFmtId="0" fontId="0" fillId="39" borderId="135" xfId="0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73" fontId="7" fillId="0" borderId="27" xfId="57" applyFont="1" applyBorder="1" applyAlignment="1">
      <alignment horizontal="center"/>
      <protection/>
    </xf>
    <xf numFmtId="0" fontId="10" fillId="36" borderId="14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1" fillId="0" borderId="107" xfId="0" applyFont="1" applyBorder="1" applyAlignment="1">
      <alignment/>
    </xf>
    <xf numFmtId="0" fontId="11" fillId="0" borderId="108" xfId="0" applyFont="1" applyBorder="1" applyAlignment="1">
      <alignment/>
    </xf>
    <xf numFmtId="0" fontId="11" fillId="0" borderId="99" xfId="0" applyFont="1" applyBorder="1" applyAlignment="1">
      <alignment/>
    </xf>
    <xf numFmtId="173" fontId="8" fillId="36" borderId="102" xfId="57" applyFont="1" applyFill="1" applyBorder="1" applyAlignment="1" applyProtection="1">
      <alignment horizontal="center"/>
      <protection/>
    </xf>
    <xf numFmtId="173" fontId="6" fillId="36" borderId="0" xfId="57" applyFont="1" applyFill="1" applyBorder="1" applyAlignment="1" applyProtection="1">
      <alignment horizontal="left" indent="1"/>
      <protection locked="0"/>
    </xf>
    <xf numFmtId="173" fontId="8" fillId="36" borderId="162" xfId="57" applyFont="1" applyFill="1" applyBorder="1" applyAlignment="1" applyProtection="1">
      <alignment horizontal="center"/>
      <protection/>
    </xf>
    <xf numFmtId="173" fontId="6" fillId="36" borderId="11" xfId="57" applyFont="1" applyFill="1" applyBorder="1" applyAlignment="1" applyProtection="1">
      <alignment horizontal="left" indent="1"/>
      <protection locked="0"/>
    </xf>
    <xf numFmtId="0" fontId="31" fillId="40" borderId="0" xfId="0" applyFont="1" applyFill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36" borderId="14" xfId="0" applyFill="1" applyBorder="1" applyAlignment="1" applyProtection="1">
      <alignment horizontal="center"/>
      <protection locked="0"/>
    </xf>
    <xf numFmtId="173" fontId="15" fillId="36" borderId="25" xfId="57" applyFont="1" applyFill="1" applyBorder="1" applyAlignment="1" applyProtection="1" quotePrefix="1">
      <alignment horizontal="center"/>
      <protection locked="0"/>
    </xf>
    <xf numFmtId="173" fontId="18" fillId="0" borderId="17" xfId="57" applyFont="1" applyBorder="1" applyAlignment="1" applyProtection="1">
      <alignment horizontal="center"/>
      <protection locked="0"/>
    </xf>
    <xf numFmtId="173" fontId="15" fillId="36" borderId="46" xfId="57" applyFont="1" applyFill="1" applyBorder="1" applyAlignment="1" applyProtection="1">
      <alignment horizontal="center"/>
      <protection locked="0"/>
    </xf>
    <xf numFmtId="173" fontId="18" fillId="0" borderId="10" xfId="57" applyFont="1" applyBorder="1" applyAlignment="1" applyProtection="1">
      <alignment horizontal="center"/>
      <protection locked="0"/>
    </xf>
    <xf numFmtId="173" fontId="18" fillId="0" borderId="11" xfId="57" applyFont="1" applyBorder="1" applyAlignment="1" applyProtection="1">
      <alignment horizontal="center"/>
      <protection locked="0"/>
    </xf>
    <xf numFmtId="173" fontId="8" fillId="0" borderId="109" xfId="57" applyFont="1" applyBorder="1" applyAlignment="1" applyProtection="1">
      <alignment horizontal="center"/>
      <protection/>
    </xf>
    <xf numFmtId="0" fontId="0" fillId="0" borderId="163" xfId="0" applyBorder="1" applyAlignment="1">
      <alignment horizontal="center"/>
    </xf>
    <xf numFmtId="173" fontId="15" fillId="36" borderId="51" xfId="57" applyFont="1" applyFill="1" applyBorder="1" applyAlignment="1" applyProtection="1">
      <alignment horizontal="center"/>
      <protection locked="0"/>
    </xf>
    <xf numFmtId="173" fontId="18" fillId="0" borderId="12" xfId="57" applyFont="1" applyBorder="1" applyAlignment="1" applyProtection="1">
      <alignment horizontal="center"/>
      <protection locked="0"/>
    </xf>
    <xf numFmtId="173" fontId="26" fillId="0" borderId="22" xfId="57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173" fontId="18" fillId="0" borderId="45" xfId="57" applyFont="1" applyBorder="1" applyAlignment="1" applyProtection="1">
      <alignment horizontal="center"/>
      <protection locked="0"/>
    </xf>
    <xf numFmtId="173" fontId="18" fillId="0" borderId="13" xfId="57" applyFont="1" applyBorder="1" applyAlignment="1" applyProtection="1">
      <alignment horizontal="center"/>
      <protection locked="0"/>
    </xf>
    <xf numFmtId="173" fontId="15" fillId="36" borderId="51" xfId="57" applyFont="1" applyFill="1" applyBorder="1" applyAlignment="1" applyProtection="1" quotePrefix="1">
      <alignment horizontal="center"/>
      <protection locked="0"/>
    </xf>
    <xf numFmtId="173" fontId="15" fillId="36" borderId="25" xfId="57" applyFont="1" applyFill="1" applyBorder="1" applyAlignment="1" applyProtection="1">
      <alignment horizontal="center"/>
      <protection locked="0"/>
    </xf>
    <xf numFmtId="173" fontId="15" fillId="36" borderId="55" xfId="57" applyFont="1" applyFill="1" applyBorder="1" applyAlignment="1" applyProtection="1">
      <alignment horizontal="center"/>
      <protection locked="0"/>
    </xf>
    <xf numFmtId="173" fontId="18" fillId="0" borderId="164" xfId="57" applyFont="1" applyBorder="1" applyAlignment="1" applyProtection="1">
      <alignment horizontal="center"/>
      <protection locked="0"/>
    </xf>
    <xf numFmtId="173" fontId="15" fillId="36" borderId="46" xfId="57" applyFont="1" applyFill="1" applyBorder="1" applyAlignment="1" applyProtection="1" quotePrefix="1">
      <alignment horizontal="center"/>
      <protection locked="0"/>
    </xf>
    <xf numFmtId="173" fontId="15" fillId="39" borderId="25" xfId="57" applyFont="1" applyFill="1" applyBorder="1" applyAlignment="1" applyProtection="1">
      <alignment horizontal="center"/>
      <protection locked="0"/>
    </xf>
    <xf numFmtId="173" fontId="18" fillId="39" borderId="45" xfId="57" applyFont="1" applyFill="1" applyBorder="1" applyAlignment="1" applyProtection="1">
      <alignment horizontal="center"/>
      <protection locked="0"/>
    </xf>
    <xf numFmtId="173" fontId="6" fillId="0" borderId="55" xfId="57" applyFont="1" applyBorder="1" applyAlignment="1" applyProtection="1" quotePrefix="1">
      <alignment horizontal="center"/>
      <protection/>
    </xf>
    <xf numFmtId="173" fontId="6" fillId="0" borderId="164" xfId="57" applyFont="1" applyBorder="1" applyAlignment="1" applyProtection="1">
      <alignment horizontal="center"/>
      <protection/>
    </xf>
    <xf numFmtId="173" fontId="18" fillId="39" borderId="17" xfId="57" applyFont="1" applyFill="1" applyBorder="1" applyAlignment="1" applyProtection="1">
      <alignment horizontal="center"/>
      <protection locked="0"/>
    </xf>
    <xf numFmtId="173" fontId="15" fillId="39" borderId="46" xfId="57" applyFont="1" applyFill="1" applyBorder="1" applyAlignment="1" applyProtection="1">
      <alignment horizontal="center"/>
      <protection locked="0"/>
    </xf>
    <xf numFmtId="173" fontId="15" fillId="39" borderId="11" xfId="57" applyFont="1" applyFill="1" applyBorder="1" applyAlignment="1" applyProtection="1">
      <alignment horizontal="center"/>
      <protection locked="0"/>
    </xf>
    <xf numFmtId="173" fontId="15" fillId="39" borderId="48" xfId="57" applyFont="1" applyFill="1" applyBorder="1" applyAlignment="1" applyProtection="1">
      <alignment horizontal="center"/>
      <protection locked="0"/>
    </xf>
    <xf numFmtId="173" fontId="26" fillId="0" borderId="47" xfId="57" applyFont="1" applyBorder="1" applyAlignment="1" applyProtection="1">
      <alignment horizontal="center"/>
      <protection/>
    </xf>
    <xf numFmtId="0" fontId="5" fillId="0" borderId="48" xfId="0" applyFont="1" applyBorder="1" applyAlignment="1">
      <alignment horizontal="center"/>
    </xf>
    <xf numFmtId="173" fontId="15" fillId="39" borderId="50" xfId="57" applyFont="1" applyFill="1" applyBorder="1" applyAlignment="1" applyProtection="1">
      <alignment horizontal="center"/>
      <protection locked="0"/>
    </xf>
    <xf numFmtId="173" fontId="18" fillId="39" borderId="33" xfId="57" applyFont="1" applyFill="1" applyBorder="1" applyAlignment="1" applyProtection="1">
      <alignment horizontal="center"/>
      <protection locked="0"/>
    </xf>
    <xf numFmtId="173" fontId="6" fillId="0" borderId="55" xfId="57" applyFont="1" applyBorder="1" applyAlignment="1" applyProtection="1">
      <alignment horizontal="center"/>
      <protection/>
    </xf>
    <xf numFmtId="0" fontId="10" fillId="0" borderId="164" xfId="0" applyFont="1" applyBorder="1" applyAlignment="1">
      <alignment horizontal="center"/>
    </xf>
    <xf numFmtId="173" fontId="18" fillId="39" borderId="44" xfId="57" applyFont="1" applyFill="1" applyBorder="1" applyAlignment="1" applyProtection="1">
      <alignment horizontal="center"/>
      <protection locked="0"/>
    </xf>
    <xf numFmtId="173" fontId="15" fillId="39" borderId="50" xfId="57" applyFont="1" applyFill="1" applyBorder="1" applyAlignment="1" applyProtection="1" quotePrefix="1">
      <alignment horizontal="center"/>
      <protection locked="0"/>
    </xf>
    <xf numFmtId="173" fontId="12" fillId="0" borderId="165" xfId="57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>
      <alignment horizontal="center"/>
    </xf>
    <xf numFmtId="0" fontId="5" fillId="0" borderId="166" xfId="0" applyFont="1" applyBorder="1" applyAlignment="1">
      <alignment horizontal="center"/>
    </xf>
    <xf numFmtId="173" fontId="12" fillId="0" borderId="54" xfId="57" applyFont="1" applyFill="1" applyBorder="1" applyAlignment="1">
      <alignment horizontal="left"/>
      <protection/>
    </xf>
    <xf numFmtId="0" fontId="13" fillId="0" borderId="54" xfId="0" applyFont="1" applyFill="1" applyBorder="1" applyAlignment="1">
      <alignment horizontal="left"/>
    </xf>
    <xf numFmtId="0" fontId="24" fillId="0" borderId="54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0" fillId="0" borderId="167" xfId="0" applyFont="1" applyBorder="1" applyAlignment="1">
      <alignment horizontal="left"/>
    </xf>
    <xf numFmtId="173" fontId="6" fillId="0" borderId="168" xfId="57" applyFont="1" applyBorder="1" applyAlignment="1" applyProtection="1" quotePrefix="1">
      <alignment horizontal="center"/>
      <protection/>
    </xf>
    <xf numFmtId="0" fontId="0" fillId="0" borderId="36" xfId="0" applyBorder="1" applyAlignment="1">
      <alignment horizontal="center"/>
    </xf>
    <xf numFmtId="173" fontId="7" fillId="0" borderId="55" xfId="57" applyFont="1" applyBorder="1" applyAlignment="1">
      <alignment horizontal="center"/>
      <protection/>
    </xf>
    <xf numFmtId="0" fontId="0" fillId="0" borderId="167" xfId="0" applyBorder="1" applyAlignment="1">
      <alignment horizontal="center"/>
    </xf>
    <xf numFmtId="0" fontId="9" fillId="0" borderId="169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173" fontId="8" fillId="0" borderId="168" xfId="57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172" fontId="12" fillId="0" borderId="169" xfId="57" applyNumberFormat="1" applyFont="1" applyFill="1" applyBorder="1" applyAlignment="1" applyProtection="1">
      <alignment horizontal="center"/>
      <protection locked="0"/>
    </xf>
    <xf numFmtId="0" fontId="13" fillId="0" borderId="54" xfId="0" applyFont="1" applyFill="1" applyBorder="1" applyAlignment="1">
      <alignment horizontal="center"/>
    </xf>
    <xf numFmtId="172" fontId="14" fillId="0" borderId="54" xfId="0" applyNumberFormat="1" applyFont="1" applyBorder="1" applyAlignment="1">
      <alignment horizontal="left"/>
    </xf>
    <xf numFmtId="172" fontId="14" fillId="0" borderId="164" xfId="0" applyNumberFormat="1" applyFont="1" applyBorder="1" applyAlignment="1">
      <alignment horizontal="left"/>
    </xf>
    <xf numFmtId="173" fontId="6" fillId="0" borderId="168" xfId="57" applyFont="1" applyBorder="1" applyAlignment="1" applyProtection="1">
      <alignment horizontal="center"/>
      <protection/>
    </xf>
    <xf numFmtId="173" fontId="7" fillId="0" borderId="36" xfId="57" applyFont="1" applyBorder="1" applyAlignment="1">
      <alignment horizontal="center"/>
      <protection/>
    </xf>
    <xf numFmtId="173" fontId="7" fillId="0" borderId="168" xfId="57" applyFont="1" applyBorder="1" applyAlignment="1" quotePrefix="1">
      <alignment horizontal="center"/>
      <protection/>
    </xf>
    <xf numFmtId="173" fontId="18" fillId="39" borderId="11" xfId="57" applyFont="1" applyFill="1" applyBorder="1" applyAlignment="1" applyProtection="1">
      <alignment horizontal="center"/>
      <protection locked="0"/>
    </xf>
    <xf numFmtId="173" fontId="18" fillId="39" borderId="10" xfId="57" applyFont="1" applyFill="1" applyBorder="1" applyAlignment="1" applyProtection="1">
      <alignment horizontal="center"/>
      <protection locked="0"/>
    </xf>
    <xf numFmtId="173" fontId="7" fillId="0" borderId="33" xfId="57" applyFont="1" applyBorder="1" applyAlignment="1">
      <alignment horizontal="center"/>
      <protection/>
    </xf>
    <xf numFmtId="173" fontId="6" fillId="0" borderId="50" xfId="57" applyFont="1" applyBorder="1" applyAlignment="1" applyProtection="1">
      <alignment horizontal="center"/>
      <protection/>
    </xf>
    <xf numFmtId="173" fontId="7" fillId="0" borderId="44" xfId="57" applyFont="1" applyBorder="1" applyAlignment="1">
      <alignment horizontal="center"/>
      <protection/>
    </xf>
    <xf numFmtId="173" fontId="6" fillId="0" borderId="33" xfId="57" applyFont="1" applyBorder="1" applyAlignment="1" applyProtection="1">
      <alignment horizontal="center"/>
      <protection/>
    </xf>
    <xf numFmtId="173" fontId="7" fillId="0" borderId="33" xfId="57" applyFont="1" applyBorder="1" applyAlignment="1" quotePrefix="1">
      <alignment horizontal="center"/>
      <protection/>
    </xf>
    <xf numFmtId="173" fontId="7" fillId="0" borderId="46" xfId="57" applyFont="1" applyBorder="1" applyAlignment="1">
      <alignment horizontal="center"/>
      <protection/>
    </xf>
    <xf numFmtId="0" fontId="0" fillId="0" borderId="170" xfId="0" applyBorder="1" applyAlignment="1">
      <alignment horizontal="center"/>
    </xf>
    <xf numFmtId="173" fontId="8" fillId="0" borderId="39" xfId="57" applyFont="1" applyBorder="1" applyAlignment="1" applyProtection="1">
      <alignment horizontal="center"/>
      <protection/>
    </xf>
    <xf numFmtId="173" fontId="23" fillId="0" borderId="97" xfId="57" applyFont="1" applyBorder="1" applyAlignment="1">
      <alignment horizontal="center"/>
      <protection/>
    </xf>
    <xf numFmtId="173" fontId="6" fillId="0" borderId="50" xfId="57" applyFont="1" applyBorder="1" applyAlignment="1" applyProtection="1" quotePrefix="1">
      <alignment horizontal="center"/>
      <protection/>
    </xf>
    <xf numFmtId="0" fontId="0" fillId="0" borderId="54" xfId="0" applyBorder="1" applyAlignment="1" applyProtection="1">
      <alignment horizontal="center"/>
      <protection locked="0"/>
    </xf>
    <xf numFmtId="0" fontId="0" fillId="0" borderId="167" xfId="0" applyBorder="1" applyAlignment="1" applyProtection="1">
      <alignment horizontal="center"/>
      <protection locked="0"/>
    </xf>
    <xf numFmtId="173" fontId="6" fillId="36" borderId="46" xfId="57" applyFont="1" applyFill="1" applyBorder="1" applyAlignment="1" applyProtection="1">
      <alignment horizontal="center"/>
      <protection locked="0"/>
    </xf>
    <xf numFmtId="173" fontId="7" fillId="0" borderId="10" xfId="57" applyFont="1" applyBorder="1" applyAlignment="1" applyProtection="1">
      <alignment horizontal="center"/>
      <protection locked="0"/>
    </xf>
    <xf numFmtId="173" fontId="6" fillId="36" borderId="25" xfId="57" applyFont="1" applyFill="1" applyBorder="1" applyAlignment="1" applyProtection="1">
      <alignment horizontal="center"/>
      <protection locked="0"/>
    </xf>
    <xf numFmtId="173" fontId="7" fillId="0" borderId="45" xfId="57" applyFont="1" applyBorder="1" applyAlignment="1" applyProtection="1">
      <alignment horizontal="center"/>
      <protection locked="0"/>
    </xf>
    <xf numFmtId="173" fontId="6" fillId="36" borderId="25" xfId="57" applyFont="1" applyFill="1" applyBorder="1" applyAlignment="1" applyProtection="1" quotePrefix="1">
      <alignment horizontal="center"/>
      <protection locked="0"/>
    </xf>
    <xf numFmtId="173" fontId="7" fillId="0" borderId="11" xfId="57" applyFont="1" applyBorder="1" applyAlignment="1" applyProtection="1">
      <alignment horizontal="center"/>
      <protection locked="0"/>
    </xf>
    <xf numFmtId="173" fontId="7" fillId="0" borderId="17" xfId="57" applyFont="1" applyBorder="1" applyAlignment="1" applyProtection="1">
      <alignment horizontal="center"/>
      <protection locked="0"/>
    </xf>
    <xf numFmtId="173" fontId="6" fillId="36" borderId="51" xfId="57" applyFont="1" applyFill="1" applyBorder="1" applyAlignment="1" applyProtection="1">
      <alignment horizontal="center"/>
      <protection locked="0"/>
    </xf>
    <xf numFmtId="173" fontId="7" fillId="0" borderId="12" xfId="57" applyFont="1" applyBorder="1" applyAlignment="1" applyProtection="1">
      <alignment horizontal="center"/>
      <protection locked="0"/>
    </xf>
    <xf numFmtId="173" fontId="7" fillId="0" borderId="13" xfId="57" applyFont="1" applyBorder="1" applyAlignment="1" applyProtection="1">
      <alignment horizontal="center"/>
      <protection locked="0"/>
    </xf>
    <xf numFmtId="173" fontId="7" fillId="0" borderId="168" xfId="57" applyFont="1" applyBorder="1" applyAlignment="1">
      <alignment horizontal="center"/>
      <protection/>
    </xf>
    <xf numFmtId="173" fontId="24" fillId="36" borderId="22" xfId="57" applyFont="1" applyFill="1" applyBorder="1" applyAlignment="1" applyProtection="1">
      <alignment horizontal="center"/>
      <protection locked="0"/>
    </xf>
    <xf numFmtId="173" fontId="24" fillId="36" borderId="23" xfId="57" applyFont="1" applyFill="1" applyBorder="1" applyAlignment="1" applyProtection="1">
      <alignment horizontal="center"/>
      <protection locked="0"/>
    </xf>
    <xf numFmtId="173" fontId="6" fillId="0" borderId="46" xfId="57" applyFont="1" applyBorder="1" applyAlignment="1" applyProtection="1">
      <alignment horizontal="center"/>
      <protection/>
    </xf>
    <xf numFmtId="173" fontId="6" fillId="0" borderId="11" xfId="57" applyFont="1" applyBorder="1" applyAlignment="1" applyProtection="1">
      <alignment horizontal="center"/>
      <protection/>
    </xf>
    <xf numFmtId="173" fontId="6" fillId="0" borderId="46" xfId="57" applyFont="1" applyBorder="1" applyAlignment="1" applyProtection="1" quotePrefix="1">
      <alignment horizontal="center"/>
      <protection/>
    </xf>
    <xf numFmtId="173" fontId="6" fillId="36" borderId="51" xfId="57" applyFont="1" applyFill="1" applyBorder="1" applyAlignment="1" applyProtection="1" quotePrefix="1">
      <alignment horizontal="center"/>
      <protection locked="0"/>
    </xf>
    <xf numFmtId="173" fontId="24" fillId="36" borderId="47" xfId="57" applyFont="1" applyFill="1" applyBorder="1" applyAlignment="1" applyProtection="1">
      <alignment horizontal="center"/>
      <protection locked="0"/>
    </xf>
    <xf numFmtId="173" fontId="24" fillId="36" borderId="48" xfId="57" applyFont="1" applyFill="1" applyBorder="1" applyAlignment="1" applyProtection="1">
      <alignment horizontal="center"/>
      <protection locked="0"/>
    </xf>
    <xf numFmtId="173" fontId="6" fillId="0" borderId="171" xfId="57" applyFont="1" applyBorder="1" applyAlignment="1" applyProtection="1" quotePrefix="1">
      <alignment horizontal="center"/>
      <protection/>
    </xf>
    <xf numFmtId="0" fontId="0" fillId="0" borderId="172" xfId="0" applyBorder="1" applyAlignment="1">
      <alignment horizontal="center"/>
    </xf>
    <xf numFmtId="173" fontId="23" fillId="0" borderId="33" xfId="57" applyFont="1" applyBorder="1" applyAlignment="1">
      <alignment horizontal="center"/>
      <protection/>
    </xf>
    <xf numFmtId="173" fontId="8" fillId="0" borderId="50" xfId="57" applyFont="1" applyBorder="1" applyAlignment="1" applyProtection="1">
      <alignment horizontal="center"/>
      <protection/>
    </xf>
    <xf numFmtId="173" fontId="23" fillId="0" borderId="44" xfId="57" applyFont="1" applyBorder="1" applyAlignment="1">
      <alignment horizontal="center"/>
      <protection/>
    </xf>
    <xf numFmtId="173" fontId="8" fillId="0" borderId="33" xfId="57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/>
      <protection locked="0"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2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0" xfId="0" applyBorder="1" applyAlignment="1" applyProtection="1">
      <alignment horizontal="center"/>
      <protection locked="0"/>
    </xf>
    <xf numFmtId="172" fontId="3" fillId="0" borderId="54" xfId="0" applyNumberFormat="1" applyFont="1" applyBorder="1" applyAlignment="1" applyProtection="1">
      <alignment horizontal="center"/>
      <protection locked="0"/>
    </xf>
    <xf numFmtId="0" fontId="0" fillId="0" borderId="54" xfId="0" applyFont="1" applyBorder="1" applyAlignment="1">
      <alignment horizontal="center"/>
    </xf>
    <xf numFmtId="0" fontId="24" fillId="0" borderId="54" xfId="0" applyFont="1" applyBorder="1" applyAlignment="1" applyProtection="1">
      <alignment horizontal="left"/>
      <protection/>
    </xf>
    <xf numFmtId="0" fontId="10" fillId="0" borderId="54" xfId="0" applyFont="1" applyBorder="1" applyAlignment="1" applyProtection="1">
      <alignment horizontal="left"/>
      <protection/>
    </xf>
    <xf numFmtId="0" fontId="10" fillId="0" borderId="147" xfId="0" applyFont="1" applyBorder="1" applyAlignment="1" applyProtection="1">
      <alignment horizontal="left"/>
      <protection/>
    </xf>
    <xf numFmtId="172" fontId="3" fillId="0" borderId="169" xfId="0" applyNumberFormat="1" applyFont="1" applyBorder="1" applyAlignment="1" applyProtection="1">
      <alignment horizontal="center"/>
      <protection locked="0"/>
    </xf>
    <xf numFmtId="0" fontId="10" fillId="0" borderId="147" xfId="0" applyFont="1" applyBorder="1" applyAlignment="1">
      <alignment horizontal="left"/>
    </xf>
    <xf numFmtId="173" fontId="6" fillId="36" borderId="50" xfId="57" applyFont="1" applyFill="1" applyBorder="1" applyAlignment="1" applyProtection="1" quotePrefix="1">
      <alignment horizontal="center"/>
      <protection locked="0"/>
    </xf>
    <xf numFmtId="173" fontId="7" fillId="0" borderId="44" xfId="57" applyFont="1" applyBorder="1" applyAlignment="1" applyProtection="1">
      <alignment horizontal="center"/>
      <protection locked="0"/>
    </xf>
    <xf numFmtId="173" fontId="6" fillId="36" borderId="50" xfId="57" applyFont="1" applyFill="1" applyBorder="1" applyAlignment="1" applyProtection="1">
      <alignment horizontal="center"/>
      <protection locked="0"/>
    </xf>
    <xf numFmtId="173" fontId="6" fillId="0" borderId="35" xfId="57" applyFont="1" applyBorder="1" applyAlignment="1" applyProtection="1">
      <alignment horizontal="center"/>
      <protection/>
    </xf>
    <xf numFmtId="173" fontId="7" fillId="0" borderId="173" xfId="57" applyFont="1" applyBorder="1" applyAlignment="1">
      <alignment horizontal="center"/>
      <protection/>
    </xf>
    <xf numFmtId="173" fontId="8" fillId="0" borderId="32" xfId="57" applyFont="1" applyBorder="1" applyAlignment="1" applyProtection="1">
      <alignment horizontal="center"/>
      <protection/>
    </xf>
    <xf numFmtId="173" fontId="23" fillId="0" borderId="35" xfId="57" applyFont="1" applyBorder="1" applyAlignment="1">
      <alignment horizontal="center"/>
      <protection/>
    </xf>
    <xf numFmtId="173" fontId="8" fillId="0" borderId="35" xfId="57" applyFont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172" fontId="3" fillId="0" borderId="174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72" fontId="14" fillId="0" borderId="10" xfId="0" applyNumberFormat="1" applyFont="1" applyBorder="1" applyAlignment="1" applyProtection="1">
      <alignment horizontal="left"/>
      <protection locked="0"/>
    </xf>
    <xf numFmtId="172" fontId="14" fillId="0" borderId="11" xfId="0" applyNumberFormat="1" applyFont="1" applyBorder="1" applyAlignment="1" applyProtection="1">
      <alignment horizontal="left"/>
      <protection locked="0"/>
    </xf>
    <xf numFmtId="20" fontId="24" fillId="0" borderId="10" xfId="0" applyNumberFormat="1" applyFont="1" applyBorder="1" applyAlignment="1" applyProtection="1" quotePrefix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left"/>
      <protection locked="0"/>
    </xf>
    <xf numFmtId="173" fontId="8" fillId="0" borderId="175" xfId="57" applyFont="1" applyBorder="1" applyAlignment="1" applyProtection="1">
      <alignment horizontal="center"/>
      <protection/>
    </xf>
    <xf numFmtId="173" fontId="23" fillId="0" borderId="175" xfId="57" applyFont="1" applyBorder="1" applyAlignment="1">
      <alignment horizontal="center"/>
      <protection/>
    </xf>
    <xf numFmtId="173" fontId="8" fillId="0" borderId="150" xfId="57" applyFont="1" applyBorder="1" applyAlignment="1" applyProtection="1">
      <alignment horizontal="center"/>
      <protection/>
    </xf>
    <xf numFmtId="173" fontId="8" fillId="0" borderId="176" xfId="57" applyFont="1" applyBorder="1" applyAlignment="1" applyProtection="1">
      <alignment horizontal="center"/>
      <protection/>
    </xf>
    <xf numFmtId="173" fontId="23" fillId="0" borderId="177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i_LohkoKaavio_4-5_makro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95250</xdr:rowOff>
    </xdr:from>
    <xdr:to>
      <xdr:col>19</xdr:col>
      <xdr:colOff>57150</xdr:colOff>
      <xdr:row>2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23850"/>
          <a:ext cx="1304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1:BU124"/>
  <sheetViews>
    <sheetView tabSelected="1" zoomScaleSheetLayoutView="100" zoomScalePageLayoutView="0" workbookViewId="0" topLeftCell="A1">
      <selection activeCell="AC15" sqref="AC15"/>
    </sheetView>
  </sheetViews>
  <sheetFormatPr defaultColWidth="8.88671875" defaultRowHeight="15"/>
  <cols>
    <col min="1" max="1" width="2.10546875" style="0" customWidth="1"/>
    <col min="2" max="2" width="4.10546875" style="0" customWidth="1"/>
    <col min="3" max="3" width="3.21484375" style="0" customWidth="1"/>
    <col min="4" max="4" width="3.77734375" style="0" customWidth="1"/>
    <col min="5" max="5" width="17.77734375" style="0" customWidth="1"/>
    <col min="6" max="6" width="9.77734375" style="0" customWidth="1"/>
    <col min="7" max="22" width="2.77734375" style="0" customWidth="1"/>
    <col min="23" max="23" width="2.77734375" style="376" customWidth="1"/>
    <col min="24" max="27" width="2.4453125" style="335" customWidth="1"/>
    <col min="28" max="28" width="3.10546875" style="335" customWidth="1"/>
    <col min="29" max="30" width="3.21484375" style="335" customWidth="1"/>
    <col min="31" max="33" width="3.10546875" style="0" customWidth="1"/>
    <col min="34" max="34" width="3.21484375" style="0" customWidth="1"/>
    <col min="35" max="54" width="2.4453125" style="0" customWidth="1"/>
    <col min="55" max="55" width="2.99609375" style="0" customWidth="1"/>
    <col min="56" max="56" width="3.21484375" style="0" customWidth="1"/>
    <col min="57" max="57" width="4.3359375" style="0" customWidth="1"/>
    <col min="58" max="58" width="2.6640625" style="0" customWidth="1"/>
    <col min="59" max="70" width="2.4453125" style="0" customWidth="1"/>
    <col min="71" max="72" width="2.99609375" style="0" customWidth="1"/>
    <col min="73" max="73" width="4.3359375" style="0" customWidth="1"/>
  </cols>
  <sheetData>
    <row r="1" spans="2:60" ht="18">
      <c r="B1" s="29" t="s">
        <v>38</v>
      </c>
      <c r="G1" s="191" t="s">
        <v>85</v>
      </c>
      <c r="U1" s="243" t="s">
        <v>61</v>
      </c>
      <c r="V1" s="32"/>
      <c r="W1" s="375"/>
      <c r="X1" s="334"/>
      <c r="Y1" s="334"/>
      <c r="Z1" s="334"/>
      <c r="AA1" s="334"/>
      <c r="AB1" s="334"/>
      <c r="AC1" s="334"/>
      <c r="AD1" s="334"/>
      <c r="AE1" s="32"/>
      <c r="AF1" s="32"/>
      <c r="AG1" s="32"/>
      <c r="AH1" s="32"/>
      <c r="AI1" s="32"/>
      <c r="AJ1" s="32"/>
      <c r="AK1" s="32"/>
      <c r="AM1" s="328" t="s">
        <v>75</v>
      </c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7"/>
      <c r="BD1" s="327"/>
      <c r="BE1" s="327"/>
      <c r="BF1" s="327"/>
      <c r="BG1" s="327"/>
      <c r="BH1" s="327"/>
    </row>
    <row r="2" spans="2:54" ht="15">
      <c r="B2" s="244" t="s">
        <v>39</v>
      </c>
      <c r="C2" s="30"/>
      <c r="D2" s="30"/>
      <c r="E2" s="30"/>
      <c r="F2" s="30"/>
      <c r="U2" t="s">
        <v>62</v>
      </c>
      <c r="AM2" s="333" t="s">
        <v>82</v>
      </c>
      <c r="AN2" s="328"/>
      <c r="AO2" s="328"/>
      <c r="AP2" s="328"/>
      <c r="AQ2" s="328"/>
      <c r="AR2" s="328"/>
      <c r="AS2" s="328"/>
      <c r="AT2" s="328"/>
      <c r="AU2" s="329"/>
      <c r="AV2" s="329"/>
      <c r="AW2" s="329"/>
      <c r="AX2" s="329"/>
      <c r="AY2" s="329"/>
      <c r="AZ2" s="329"/>
      <c r="BA2" s="329"/>
      <c r="BB2" s="329"/>
    </row>
    <row r="3" spans="2:39" ht="15">
      <c r="B3" s="395" t="s">
        <v>57</v>
      </c>
      <c r="C3" s="396"/>
      <c r="D3" s="396"/>
      <c r="E3" s="396"/>
      <c r="F3" s="396"/>
      <c r="G3" s="396"/>
      <c r="H3" s="396"/>
      <c r="I3" s="396"/>
      <c r="J3" s="396"/>
      <c r="K3" s="394"/>
      <c r="L3" s="394"/>
      <c r="M3" s="394"/>
      <c r="U3" s="243" t="s">
        <v>60</v>
      </c>
      <c r="AI3" s="197"/>
      <c r="AM3" s="328" t="s">
        <v>77</v>
      </c>
    </row>
    <row r="4" spans="6:39" ht="16.5" thickBot="1">
      <c r="F4" s="190" t="s">
        <v>59</v>
      </c>
      <c r="AM4" s="328" t="s">
        <v>83</v>
      </c>
    </row>
    <row r="5" spans="3:73" ht="15.75">
      <c r="C5" s="87"/>
      <c r="D5" s="226"/>
      <c r="E5" s="85" t="s">
        <v>86</v>
      </c>
      <c r="F5" s="35"/>
      <c r="G5" s="35"/>
      <c r="H5" s="35"/>
      <c r="I5" s="36"/>
      <c r="J5" s="35"/>
      <c r="K5" s="381"/>
      <c r="L5" s="381"/>
      <c r="M5" s="495"/>
      <c r="N5" s="519"/>
      <c r="O5" s="519"/>
      <c r="P5" s="520"/>
      <c r="Q5" s="382" t="s">
        <v>0</v>
      </c>
      <c r="R5" s="383"/>
      <c r="S5" s="521" t="s">
        <v>40</v>
      </c>
      <c r="T5" s="522"/>
      <c r="U5" s="522"/>
      <c r="V5" s="523"/>
      <c r="Y5" s="373" t="s">
        <v>79</v>
      </c>
      <c r="Z5" s="374"/>
      <c r="AA5" s="374"/>
      <c r="AB5" s="374"/>
      <c r="AC5" s="374"/>
      <c r="AD5" s="374"/>
      <c r="AE5" s="372"/>
      <c r="AG5" s="370" t="s">
        <v>78</v>
      </c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2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</row>
    <row r="6" spans="3:47" ht="16.5" thickBot="1">
      <c r="C6" s="88"/>
      <c r="D6" s="227"/>
      <c r="E6" s="86" t="s">
        <v>58</v>
      </c>
      <c r="F6" s="41" t="s">
        <v>1</v>
      </c>
      <c r="G6" s="501">
        <v>1.2</v>
      </c>
      <c r="H6" s="502"/>
      <c r="I6" s="503"/>
      <c r="J6" s="524" t="s">
        <v>2</v>
      </c>
      <c r="K6" s="525"/>
      <c r="L6" s="525"/>
      <c r="M6" s="526">
        <v>42280</v>
      </c>
      <c r="N6" s="526"/>
      <c r="O6" s="526"/>
      <c r="P6" s="527"/>
      <c r="Q6" s="384" t="s">
        <v>3</v>
      </c>
      <c r="R6" s="385"/>
      <c r="S6" s="528" t="s">
        <v>87</v>
      </c>
      <c r="T6" s="529"/>
      <c r="U6" s="529"/>
      <c r="V6" s="530"/>
      <c r="AU6" t="s">
        <v>20</v>
      </c>
    </row>
    <row r="7" spans="3:73" ht="15.75" thickBot="1">
      <c r="C7" s="43"/>
      <c r="D7" s="239" t="s">
        <v>68</v>
      </c>
      <c r="E7" s="317" t="s">
        <v>4</v>
      </c>
      <c r="F7" s="176" t="s">
        <v>5</v>
      </c>
      <c r="G7" s="516" t="s">
        <v>6</v>
      </c>
      <c r="H7" s="517"/>
      <c r="I7" s="518" t="s">
        <v>7</v>
      </c>
      <c r="J7" s="517"/>
      <c r="K7" s="518" t="s">
        <v>8</v>
      </c>
      <c r="L7" s="517"/>
      <c r="M7" s="518" t="s">
        <v>9</v>
      </c>
      <c r="N7" s="517"/>
      <c r="O7" s="514"/>
      <c r="P7" s="515"/>
      <c r="Q7" s="44" t="s">
        <v>10</v>
      </c>
      <c r="R7" s="45" t="s">
        <v>11</v>
      </c>
      <c r="S7" s="446" t="s">
        <v>69</v>
      </c>
      <c r="T7" s="441"/>
      <c r="U7" s="480" t="s">
        <v>12</v>
      </c>
      <c r="V7" s="454"/>
      <c r="Y7" s="330" t="s">
        <v>74</v>
      </c>
      <c r="Z7" s="300"/>
      <c r="AA7" s="300"/>
      <c r="AB7" s="324"/>
      <c r="AC7" s="337" t="s">
        <v>73</v>
      </c>
      <c r="AG7" s="197" t="s">
        <v>65</v>
      </c>
      <c r="AI7" s="330" t="s">
        <v>74</v>
      </c>
      <c r="AJ7" s="300"/>
      <c r="AK7" s="300"/>
      <c r="AL7" s="324"/>
      <c r="AM7" s="337" t="s">
        <v>73</v>
      </c>
      <c r="AU7" s="533" t="s">
        <v>6</v>
      </c>
      <c r="AV7" s="532"/>
      <c r="AW7" s="534" t="s">
        <v>7</v>
      </c>
      <c r="AX7" s="535"/>
      <c r="AY7" s="531" t="s">
        <v>8</v>
      </c>
      <c r="AZ7" s="532"/>
      <c r="BA7" s="403" t="s">
        <v>9</v>
      </c>
      <c r="BB7" s="404"/>
      <c r="BC7" s="267" t="s">
        <v>66</v>
      </c>
      <c r="BD7" s="268"/>
      <c r="BE7" s="277" t="s">
        <v>71</v>
      </c>
      <c r="BK7" s="343" t="s">
        <v>72</v>
      </c>
      <c r="BL7" s="344"/>
      <c r="BM7" s="344"/>
      <c r="BN7" s="345"/>
      <c r="BO7" s="345"/>
      <c r="BP7" s="345"/>
      <c r="BQ7" s="345"/>
      <c r="BR7" s="345"/>
      <c r="BS7" s="346" t="s">
        <v>76</v>
      </c>
      <c r="BT7" s="347"/>
      <c r="BU7" s="352" t="s">
        <v>71</v>
      </c>
    </row>
    <row r="8" spans="2:73" ht="15.75">
      <c r="B8" s="33">
        <f>U8</f>
        <v>1</v>
      </c>
      <c r="C8" s="235" t="s">
        <v>6</v>
      </c>
      <c r="D8" s="240">
        <v>2380</v>
      </c>
      <c r="E8" s="79" t="s">
        <v>88</v>
      </c>
      <c r="F8" s="192" t="s">
        <v>89</v>
      </c>
      <c r="G8" s="68"/>
      <c r="H8" s="91"/>
      <c r="I8" s="94">
        <f>+S18</f>
        <v>3</v>
      </c>
      <c r="J8" s="92">
        <f>+T18</f>
        <v>1</v>
      </c>
      <c r="K8" s="94">
        <f>S14</f>
        <v>3</v>
      </c>
      <c r="L8" s="92">
        <f>T14</f>
        <v>0</v>
      </c>
      <c r="M8" s="94">
        <f>S16</f>
        <v>0</v>
      </c>
      <c r="N8" s="92">
        <f>T16</f>
        <v>0</v>
      </c>
      <c r="O8" s="70"/>
      <c r="P8" s="63"/>
      <c r="Q8" s="198">
        <f>IF(SUM(G8:P8)=0,0,COUNTIF(H8:H11,"3"))</f>
        <v>2</v>
      </c>
      <c r="R8" s="199">
        <f>IF(SUM(H8:Q8)=0,0,COUNTIF(G8:G11,"3"))</f>
        <v>0</v>
      </c>
      <c r="S8" s="407">
        <f>+AC8</f>
        <v>5</v>
      </c>
      <c r="T8" s="408"/>
      <c r="U8" s="481">
        <v>1</v>
      </c>
      <c r="V8" s="482"/>
      <c r="Y8" s="331"/>
      <c r="Z8" s="250">
        <f>IF($S18=3,2,IF($W18=1,0,1))</f>
        <v>2</v>
      </c>
      <c r="AA8" s="250">
        <f>IF($S14=3,2,IF($W14=1,0,1))</f>
        <v>2</v>
      </c>
      <c r="AB8" s="250">
        <f>IF($S16=3,2,IF($W16=1,0,1))</f>
        <v>1</v>
      </c>
      <c r="AC8" s="332">
        <f>SUM(Y8:AB8)</f>
        <v>5</v>
      </c>
      <c r="AD8"/>
      <c r="AG8" s="380"/>
      <c r="AH8" s="246"/>
      <c r="AI8" s="331"/>
      <c r="AJ8" s="250">
        <f>IF($AG18=1,IF($S18=3,2,IF($W18=1,0,1)),"")</f>
      </c>
      <c r="AK8" s="250">
        <f>IF($AG14=1,IF($S14=3,2,IF($W14=1,0,1)),"")</f>
      </c>
      <c r="AL8" s="250">
        <f>IF($AG16=1,IF($S16=3,2,IF($W16=1,0,1)),"")</f>
      </c>
      <c r="AM8" s="332">
        <f>SUM(AI8:AL8)</f>
        <v>0</v>
      </c>
      <c r="AU8" s="269"/>
      <c r="AV8" s="249"/>
      <c r="AW8" s="250">
        <f>IF($AG18=1,S18,"")</f>
      </c>
      <c r="AX8" s="250">
        <f>IF($AG18=1,T18,"")</f>
      </c>
      <c r="AY8" s="250">
        <f>IF($AG14=1,S14,"")</f>
      </c>
      <c r="AZ8" s="250">
        <f>IF($AG14=1,T14,"")</f>
      </c>
      <c r="BA8" s="250">
        <f>IF($AG16=1,S16,"")</f>
      </c>
      <c r="BB8" s="251">
        <f>IF($AG16=1,T16,"")</f>
      </c>
      <c r="BC8" s="254">
        <f>IF(SUM(AU8:BB8)=0,"",SUM(AV8:AV11))</f>
      </c>
      <c r="BD8" s="254">
        <f>IF(SUM(AU8:BB8)=0,"",SUM(AU8:AU11))</f>
      </c>
      <c r="BE8" s="326">
        <f>IF(AG8=1,IF(BC8=0,0,IF(BD8=0,BC8,BC8/BD8)),"")</f>
      </c>
      <c r="BK8" s="291"/>
      <c r="BL8" s="292"/>
      <c r="BM8" s="295">
        <f>IF($AG18=1,U18,0)</f>
        <v>0</v>
      </c>
      <c r="BN8" s="296">
        <f>IF($AG18=1,V18,0)</f>
        <v>0</v>
      </c>
      <c r="BO8" s="295">
        <f>IF($AG14=1,U14,0)</f>
        <v>0</v>
      </c>
      <c r="BP8" s="296">
        <f>IF($AG14=1,V14,0)</f>
        <v>0</v>
      </c>
      <c r="BQ8" s="295">
        <f>IF($AG16=1,U16,0)</f>
        <v>0</v>
      </c>
      <c r="BR8" s="297">
        <f>IF($AG16=1,V16,0)</f>
        <v>0</v>
      </c>
      <c r="BS8" s="338">
        <f>+BM8+BO8+BQ8</f>
        <v>0</v>
      </c>
      <c r="BT8" s="339">
        <f>+BN8+BP8+BR8</f>
        <v>0</v>
      </c>
      <c r="BU8" s="355">
        <f>IF(AG8=1,IF(BS8=0,0,IF(BT8=0,BS8,BS8/BT8)),"")</f>
      </c>
    </row>
    <row r="9" spans="2:73" ht="15.75">
      <c r="B9" s="33">
        <f>U9</f>
        <v>3</v>
      </c>
      <c r="C9" s="236" t="s">
        <v>7</v>
      </c>
      <c r="D9" s="240">
        <v>2221</v>
      </c>
      <c r="E9" s="79" t="s">
        <v>90</v>
      </c>
      <c r="F9" s="193" t="s">
        <v>91</v>
      </c>
      <c r="G9" s="71">
        <f>+T18</f>
        <v>1</v>
      </c>
      <c r="H9" s="92">
        <f>+S18</f>
        <v>3</v>
      </c>
      <c r="I9" s="95"/>
      <c r="J9" s="91"/>
      <c r="K9" s="94">
        <f>S17</f>
        <v>2</v>
      </c>
      <c r="L9" s="92">
        <f>T17</f>
        <v>3</v>
      </c>
      <c r="M9" s="94">
        <f>S15</f>
        <v>0</v>
      </c>
      <c r="N9" s="92">
        <f>T15</f>
        <v>0</v>
      </c>
      <c r="O9" s="70"/>
      <c r="P9" s="63"/>
      <c r="Q9" s="198">
        <f>IF(SUM(G9:P9)=0,0,COUNTIF(J8:J11,"3"))</f>
        <v>0</v>
      </c>
      <c r="R9" s="199">
        <f>IF(SUM(H9:Q9)=0,0,COUNTIF(I8:I11,"3"))</f>
        <v>2</v>
      </c>
      <c r="S9" s="407">
        <f>+AC9</f>
        <v>3</v>
      </c>
      <c r="T9" s="408"/>
      <c r="U9" s="481">
        <v>3</v>
      </c>
      <c r="V9" s="482"/>
      <c r="Y9" s="250">
        <f>IF($T18=3,2,IF($W18=1,0,1))</f>
        <v>1</v>
      </c>
      <c r="Z9" s="331"/>
      <c r="AA9" s="250">
        <f>IF($S17=3,2,IF($W17=1,0,1))</f>
        <v>1</v>
      </c>
      <c r="AB9" s="250">
        <f>IF($S15=3,2,IF($W15=1,0,1))</f>
        <v>1</v>
      </c>
      <c r="AC9" s="332">
        <f>SUM(Y9:AB9)</f>
        <v>3</v>
      </c>
      <c r="AG9" s="380"/>
      <c r="AH9" s="246"/>
      <c r="AI9" s="250">
        <f>IF($AG18=1,IF($T18=3,2,IF($W18=1,0,1)),"")</f>
      </c>
      <c r="AJ9" s="331"/>
      <c r="AK9" s="250">
        <f>IF($AG17=1,IF($S17=3,2,IF($W17=1,0,1)),"")</f>
      </c>
      <c r="AL9" s="250">
        <f>IF($AG15=1,IF($S15=3,2,IF($W15=1,0,1)),"")</f>
      </c>
      <c r="AM9" s="332">
        <f>SUM(AI9:AL9)</f>
        <v>0</v>
      </c>
      <c r="AU9" s="270">
        <f>IF($AG18=1,T18,"")</f>
      </c>
      <c r="AV9" s="250">
        <f>IF($AG18=1,S18,"")</f>
      </c>
      <c r="AW9" s="248"/>
      <c r="AX9" s="249"/>
      <c r="AY9" s="250">
        <f>IF($AG17=1,S17,"")</f>
      </c>
      <c r="AZ9" s="250">
        <f>IF($AG17=1,T17,"")</f>
      </c>
      <c r="BA9" s="250">
        <f>IF($AG15=1,S15,"")</f>
      </c>
      <c r="BB9" s="251">
        <f>IF($AG15=1,T15,"")</f>
      </c>
      <c r="BC9" s="254">
        <f>IF(SUM(AU9:BB9)=0,"",SUM(AX8:AX11))</f>
      </c>
      <c r="BD9" s="255">
        <f>IF(SUM(AU9:BB9)=0,"",SUM(AW8:AW11))</f>
      </c>
      <c r="BE9" s="326">
        <f>IF(AG9=1,IF(BC9=0,0,IF(BD9=0,BC9,BC9/BD9)),"")</f>
      </c>
      <c r="BK9" s="270">
        <f>IF($AG18=1,V18,0)</f>
        <v>0</v>
      </c>
      <c r="BL9" s="287">
        <f>IF($AG18=1,U18,0)</f>
        <v>0</v>
      </c>
      <c r="BM9" s="289"/>
      <c r="BN9" s="290"/>
      <c r="BO9" s="270">
        <f>IF($AG17=1,U17,0)</f>
        <v>0</v>
      </c>
      <c r="BP9" s="287">
        <f>IF($AG17=1,V17,0)</f>
        <v>0</v>
      </c>
      <c r="BQ9" s="270">
        <f>IF($AG15=1,U15,0)</f>
        <v>0</v>
      </c>
      <c r="BR9" s="251">
        <f>IF($AG15=1,V15,0)</f>
        <v>0</v>
      </c>
      <c r="BS9" s="309">
        <f>+BK9+BO9+BQ9</f>
        <v>0</v>
      </c>
      <c r="BT9" s="342">
        <f>+BL9+BN9+BP9+BR9</f>
        <v>0</v>
      </c>
      <c r="BU9" s="353">
        <f>IF(AG9=1,IF(BS9=0,0,IF(BT9=0,BS9,BS9/BT9)),"")</f>
      </c>
    </row>
    <row r="10" spans="2:73" ht="15.75">
      <c r="B10" s="33">
        <f>U10</f>
        <v>2</v>
      </c>
      <c r="C10" s="236" t="s">
        <v>8</v>
      </c>
      <c r="D10" s="240">
        <v>2201</v>
      </c>
      <c r="E10" s="79" t="s">
        <v>92</v>
      </c>
      <c r="F10" s="193" t="s">
        <v>93</v>
      </c>
      <c r="G10" s="71">
        <f>+T14</f>
        <v>0</v>
      </c>
      <c r="H10" s="92">
        <f>+S14</f>
        <v>3</v>
      </c>
      <c r="I10" s="94">
        <f>T17</f>
        <v>3</v>
      </c>
      <c r="J10" s="92">
        <f>S17</f>
        <v>2</v>
      </c>
      <c r="K10" s="95"/>
      <c r="L10" s="91"/>
      <c r="M10" s="94">
        <f>S19</f>
        <v>0</v>
      </c>
      <c r="N10" s="92">
        <f>T19</f>
        <v>0</v>
      </c>
      <c r="O10" s="70"/>
      <c r="P10" s="63"/>
      <c r="Q10" s="198">
        <f>IF(SUM(G10:P10)=0,0,COUNTIF(L8:L11,"3"))</f>
        <v>1</v>
      </c>
      <c r="R10" s="199">
        <f>IF(SUM(H10:Q10)=0,0,COUNTIF(K8:K11,"3"))</f>
        <v>1</v>
      </c>
      <c r="S10" s="407">
        <f>+AC10</f>
        <v>4</v>
      </c>
      <c r="T10" s="408"/>
      <c r="U10" s="481">
        <v>2</v>
      </c>
      <c r="V10" s="482"/>
      <c r="Y10" s="250">
        <f>IF($T14=3,2,IF($W14=1,0,1))</f>
        <v>1</v>
      </c>
      <c r="Z10" s="250">
        <f>IF($T17=3,2,IF($W17=1,0,1))</f>
        <v>2</v>
      </c>
      <c r="AA10" s="331"/>
      <c r="AB10" s="250">
        <f>IF($S19=3,2,IF($W19=1,0,1))</f>
        <v>1</v>
      </c>
      <c r="AC10" s="332">
        <f>SUM(Y10:AB10)</f>
        <v>4</v>
      </c>
      <c r="AG10" s="380"/>
      <c r="AH10" s="246"/>
      <c r="AI10" s="250">
        <f>IF($AG14=1,IF($T14=3,2,IF($W14=1,0,1)),"")</f>
      </c>
      <c r="AJ10" s="250">
        <f>IF($AG17=1,IF($T17=3,2,IF($W17=1,0,1)),"")</f>
      </c>
      <c r="AK10" s="331"/>
      <c r="AL10" s="250">
        <f>IF($AG19=1,IF($S19=3,2,IF($W19=1,0,1)),"")</f>
      </c>
      <c r="AM10" s="332">
        <f>SUM(AI10:AL10)</f>
        <v>0</v>
      </c>
      <c r="AU10" s="270">
        <f>IF($AG14=1,T14,"")</f>
      </c>
      <c r="AV10" s="250">
        <f>IF($AG14=1,S14,"")</f>
      </c>
      <c r="AW10" s="250">
        <f>IF($AG17=1,T17,"")</f>
      </c>
      <c r="AX10" s="250">
        <f>IF($AG17=1,S17,"")</f>
      </c>
      <c r="AY10" s="248"/>
      <c r="AZ10" s="249"/>
      <c r="BA10" s="250">
        <f>IF($AG19=1,S19,"")</f>
      </c>
      <c r="BB10" s="251">
        <f>IF($AG19=1,T19,"")</f>
      </c>
      <c r="BC10" s="254">
        <f>IF(SUM(AU10:BB10)=0,"",SUM(AZ8:AZ11))</f>
      </c>
      <c r="BD10" s="256">
        <f>IF(SUM(AU10:BB10)=0,"",SUM(AY8:AY11))</f>
      </c>
      <c r="BE10" s="326">
        <f>IF(AG10=1,IF(BC10=0,0,IF(BD10=0,BC10,BC10/BD10)),"")</f>
      </c>
      <c r="BK10" s="270">
        <f>IF($AG14=1,V14,0)</f>
        <v>0</v>
      </c>
      <c r="BL10" s="287">
        <f>IF($AG14=1,U14,0)</f>
        <v>0</v>
      </c>
      <c r="BM10" s="270">
        <f>IF($AG17=1,V17,0)</f>
        <v>0</v>
      </c>
      <c r="BN10" s="287">
        <f>IF($AG17=1,U17,0)</f>
        <v>0</v>
      </c>
      <c r="BO10" s="291"/>
      <c r="BP10" s="292"/>
      <c r="BQ10" s="270">
        <f>IF($AG19=1,U19,0)</f>
        <v>0</v>
      </c>
      <c r="BR10" s="251">
        <f>IF($AG19=1,V19,0)</f>
        <v>0</v>
      </c>
      <c r="BS10" s="309">
        <f>+BK10+BM10+BQ10</f>
        <v>0</v>
      </c>
      <c r="BT10" s="342">
        <f>+BL10+BN10+BP10+BR10</f>
        <v>0</v>
      </c>
      <c r="BU10" s="353">
        <f>IF(AG10=1,IF(BS10=0,0,IF(BT10=0,BS10,BS10/BT10)),"")</f>
      </c>
    </row>
    <row r="11" spans="2:73" ht="16.5" thickBot="1">
      <c r="B11" s="33">
        <f>U11</f>
        <v>0</v>
      </c>
      <c r="C11" s="237" t="s">
        <v>9</v>
      </c>
      <c r="D11" s="241"/>
      <c r="E11" s="80"/>
      <c r="F11" s="194"/>
      <c r="G11" s="72">
        <f>T16</f>
        <v>0</v>
      </c>
      <c r="H11" s="93">
        <f>S16</f>
        <v>0</v>
      </c>
      <c r="I11" s="96">
        <f>T15</f>
        <v>0</v>
      </c>
      <c r="J11" s="93">
        <f>S15</f>
        <v>0</v>
      </c>
      <c r="K11" s="96">
        <f>T19</f>
        <v>0</v>
      </c>
      <c r="L11" s="93">
        <f>S19</f>
        <v>0</v>
      </c>
      <c r="M11" s="97"/>
      <c r="N11" s="98"/>
      <c r="O11" s="73"/>
      <c r="P11" s="74"/>
      <c r="Q11" s="200">
        <f>IF(SUM(G11:P11)=0,0,COUNTIF(N8:N11,"3"))</f>
        <v>0</v>
      </c>
      <c r="R11" s="201">
        <f>IF(SUM(H11:Q11)=0,0,COUNTIF(M8:M11,"3"))</f>
        <v>0</v>
      </c>
      <c r="S11" s="407">
        <f>+AC11</f>
        <v>3</v>
      </c>
      <c r="T11" s="408"/>
      <c r="U11" s="487"/>
      <c r="V11" s="488"/>
      <c r="Y11" s="250">
        <f>IF($T16=3,2,IF($W16=1,0,1))</f>
        <v>1</v>
      </c>
      <c r="Z11" s="250">
        <f>IF($T15=3,2,IF($W15=1,0,1))</f>
        <v>1</v>
      </c>
      <c r="AA11" s="250">
        <f>IF($T19=3,2,IF($W19=1,0,1))</f>
        <v>1</v>
      </c>
      <c r="AB11" s="331"/>
      <c r="AC11" s="332">
        <f>SUM(Y11:AB11)</f>
        <v>3</v>
      </c>
      <c r="AG11" s="380"/>
      <c r="AH11" s="246"/>
      <c r="AI11" s="250">
        <f>IF($AG16=1,IF($T16=3,2,IF($W16=1,0,1)),"")</f>
      </c>
      <c r="AJ11" s="250">
        <f>IF($AG15=1,IF($T15=3,2,IF($W15=1,0,1)),"")</f>
      </c>
      <c r="AK11" s="250">
        <f>IF($AG19=1,IF($T19=3,2,IF($W19=1,0,1)),"")</f>
      </c>
      <c r="AL11" s="331"/>
      <c r="AM11" s="332">
        <f>SUM(AI11:AL11)</f>
        <v>0</v>
      </c>
      <c r="AU11" s="271">
        <f>IF($AG16=1,T16,"")</f>
      </c>
      <c r="AV11" s="272">
        <f>IF($AG16=1,S16,"")</f>
      </c>
      <c r="AW11" s="272">
        <f>IF($AG15=1,T15,"")</f>
      </c>
      <c r="AX11" s="272">
        <f>IF($AG15=1,S15,"")</f>
      </c>
      <c r="AY11" s="272">
        <f>IF($AG19=1,T19,"")</f>
      </c>
      <c r="AZ11" s="272">
        <f>IF($AG19=1,S19,"")</f>
      </c>
      <c r="BA11" s="273"/>
      <c r="BB11" s="274"/>
      <c r="BC11" s="275">
        <f>IF(SUM(AU11:BB11)=0,"",SUM(BB9:BB13))</f>
      </c>
      <c r="BD11" s="276">
        <f>IF(SUM(AU11:BB11)=0,"",SUM(BA9:BA13))</f>
      </c>
      <c r="BE11" s="326">
        <f>IF(AG11=1,IF(BC11=0,0,IF(BD11=0,BC11,BC11/BD11)),"")</f>
      </c>
      <c r="BK11" s="271">
        <f>IF($AG16=1,V16,0)</f>
        <v>0</v>
      </c>
      <c r="BL11" s="288">
        <f>IF($AG16=1,U16,0)</f>
        <v>0</v>
      </c>
      <c r="BM11" s="271">
        <f>IF($AG15=1,V15,0)</f>
        <v>0</v>
      </c>
      <c r="BN11" s="288">
        <f>IF($AG15=1,U15,0)</f>
        <v>0</v>
      </c>
      <c r="BO11" s="271">
        <f>IF($AG19=1,V19,0)</f>
        <v>0</v>
      </c>
      <c r="BP11" s="288">
        <f>IF($AG19=1,U19,0)</f>
        <v>0</v>
      </c>
      <c r="BQ11" s="293"/>
      <c r="BR11" s="294"/>
      <c r="BS11" s="308">
        <f>+BK11+BM11+BO11</f>
        <v>0</v>
      </c>
      <c r="BT11" s="351">
        <f>+BL11+BN11+BP11+BR11</f>
        <v>0</v>
      </c>
      <c r="BU11" s="354">
        <f>IF(AG11=1,IF(BS11=0,0,IF(BT11=0,BS11,BS11/BT11)),"")</f>
      </c>
    </row>
    <row r="12" spans="3:22" ht="15">
      <c r="C12" s="49"/>
      <c r="D12" s="228"/>
      <c r="E12" s="67" t="s">
        <v>67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1"/>
      <c r="V12" s="55"/>
    </row>
    <row r="13" spans="3:30" ht="15.75" thickBot="1">
      <c r="C13" s="52"/>
      <c r="D13" s="228"/>
      <c r="E13" s="66" t="s">
        <v>14</v>
      </c>
      <c r="F13" s="1"/>
      <c r="G13" s="1"/>
      <c r="H13" s="2"/>
      <c r="I13" s="483" t="s">
        <v>15</v>
      </c>
      <c r="J13" s="484"/>
      <c r="K13" s="485" t="s">
        <v>16</v>
      </c>
      <c r="L13" s="484"/>
      <c r="M13" s="485" t="s">
        <v>17</v>
      </c>
      <c r="N13" s="484"/>
      <c r="O13" s="485" t="s">
        <v>18</v>
      </c>
      <c r="P13" s="484"/>
      <c r="Q13" s="485" t="s">
        <v>19</v>
      </c>
      <c r="R13" s="484"/>
      <c r="S13" s="442" t="s">
        <v>20</v>
      </c>
      <c r="T13" s="429"/>
      <c r="U13" s="259" t="s">
        <v>13</v>
      </c>
      <c r="V13" s="260"/>
      <c r="W13" s="377" t="s">
        <v>70</v>
      </c>
      <c r="X13" s="250" t="s">
        <v>80</v>
      </c>
      <c r="Y13" s="250" t="s">
        <v>81</v>
      </c>
      <c r="Z13" s="359"/>
      <c r="AA13" s="359"/>
      <c r="AB13" s="359"/>
      <c r="AC13" s="359"/>
      <c r="AD13" s="359"/>
    </row>
    <row r="14" spans="3:44" ht="15">
      <c r="C14" s="53" t="s">
        <v>21</v>
      </c>
      <c r="D14" s="229"/>
      <c r="E14" s="81" t="str">
        <f>IF(E8&gt;0,E8,0)</f>
        <v>Jani Jormanainen</v>
      </c>
      <c r="F14" s="75" t="str">
        <f>IF(E10&gt;0,E10,0)</f>
        <v>Veikka Flemming</v>
      </c>
      <c r="G14" s="50"/>
      <c r="H14" s="64"/>
      <c r="I14" s="513">
        <v>6</v>
      </c>
      <c r="J14" s="512"/>
      <c r="K14" s="513">
        <v>7</v>
      </c>
      <c r="L14" s="512"/>
      <c r="M14" s="513">
        <v>9</v>
      </c>
      <c r="N14" s="512"/>
      <c r="O14" s="513"/>
      <c r="P14" s="512"/>
      <c r="Q14" s="511"/>
      <c r="R14" s="512"/>
      <c r="S14" s="202">
        <f aca="true" t="shared" si="0" ref="S14:S19">IF(COUNT(I14:Q14)=0,0,COUNTIF(I14:Q14,"&gt;=0"))</f>
        <v>3</v>
      </c>
      <c r="T14" s="203">
        <f aca="true" t="shared" si="1" ref="T14:T19">IF(COUNTA(I14:Q14)=0,0,(IF(LEFT(I14,1)="-",1,0)+IF(LEFT(K14,1)="-",1,0)+IF(LEFT(M14,1)="-",1,0)+IF(LEFT(O14,1)="-",1,0)+IF(LEFT(Q14,1)="-",1,0)))</f>
        <v>0</v>
      </c>
      <c r="U14" s="54">
        <f aca="true" t="shared" si="2" ref="U14:V19">+AI14+AK14+AM14+AO14+AQ14</f>
        <v>33</v>
      </c>
      <c r="V14" s="5">
        <f t="shared" si="2"/>
        <v>22</v>
      </c>
      <c r="W14" s="380"/>
      <c r="X14" s="397"/>
      <c r="Y14" s="397"/>
      <c r="Z14" s="361"/>
      <c r="AA14" s="361"/>
      <c r="AB14" s="361"/>
      <c r="AC14" s="361"/>
      <c r="AD14" s="361"/>
      <c r="AE14" s="327"/>
      <c r="AG14" s="253">
        <f>IF(AND(AG8=1,AG10=1),1,"")</f>
      </c>
      <c r="AI14" s="6">
        <f aca="true" t="shared" si="3" ref="AI14:AI19">IF(I14="",0,IF(LEFT(I14,1)="-",ABS(I14),(IF(I14&gt;9,I14+2,11))))</f>
        <v>11</v>
      </c>
      <c r="AJ14" s="7">
        <f aca="true" t="shared" si="4" ref="AJ14:AJ19">IF(I14="",0,IF(LEFT(I14,1)="-",(IF(ABS(I14)&gt;9,(ABS(I14)+2),11)),I14))</f>
        <v>6</v>
      </c>
      <c r="AK14" s="6">
        <f aca="true" t="shared" si="5" ref="AK14:AK19">IF(K14="",0,IF(LEFT(K14,1)="-",ABS(K14),(IF(K14&gt;9,K14+2,11))))</f>
        <v>11</v>
      </c>
      <c r="AL14" s="7">
        <f aca="true" t="shared" si="6" ref="AL14:AL19">IF(K14="",0,IF(LEFT(K14,1)="-",(IF(ABS(K14)&gt;9,(ABS(K14)+2),11)),K14))</f>
        <v>7</v>
      </c>
      <c r="AM14" s="6">
        <f aca="true" t="shared" si="7" ref="AM14:AM19">IF(M14="",0,IF(LEFT(M14,1)="-",ABS(M14),(IF(M14&gt;9,M14+2,11))))</f>
        <v>11</v>
      </c>
      <c r="AN14" s="7">
        <f aca="true" t="shared" si="8" ref="AN14:AN19">IF(M14="",0,IF(LEFT(M14,1)="-",(IF(ABS(M14)&gt;9,(ABS(M14)+2),11)),M14))</f>
        <v>9</v>
      </c>
      <c r="AO14" s="6">
        <f aca="true" t="shared" si="9" ref="AO14:AO19">IF(O14="",0,IF(LEFT(O14,1)="-",ABS(O14),(IF(O14&gt;9,O14+2,11))))</f>
        <v>0</v>
      </c>
      <c r="AP14" s="7">
        <f aca="true" t="shared" si="10" ref="AP14:AP19">IF(O14="",0,IF(LEFT(O14,1)="-",(IF(ABS(O14)&gt;9,(ABS(O14)+2),11)),O14))</f>
        <v>0</v>
      </c>
      <c r="AQ14" s="6">
        <f aca="true" t="shared" si="11" ref="AQ14:AQ19">IF(Q14="",0,IF(LEFT(Q14,1)="-",ABS(Q14),(IF(Q14&gt;9,Q14+2,11))))</f>
        <v>0</v>
      </c>
      <c r="AR14" s="7">
        <f>IF(Q14="",0,IF(LEFT(Q14,1)="-",(IF(ABS(Q14)&gt;9,(ABS(Q14)+2),11)),Q14))</f>
        <v>0</v>
      </c>
    </row>
    <row r="15" spans="3:44" ht="15">
      <c r="C15" s="53" t="s">
        <v>22</v>
      </c>
      <c r="D15" s="229"/>
      <c r="E15" s="82" t="str">
        <f>IF(E9&gt;0,E9,0)</f>
        <v>Aleksi Mustonen</v>
      </c>
      <c r="F15" s="76">
        <f>IF(E11&gt;0,E11,0)</f>
        <v>0</v>
      </c>
      <c r="G15" s="8"/>
      <c r="H15" s="4"/>
      <c r="I15" s="472"/>
      <c r="J15" s="473"/>
      <c r="K15" s="474"/>
      <c r="L15" s="473"/>
      <c r="M15" s="472"/>
      <c r="N15" s="473"/>
      <c r="O15" s="472"/>
      <c r="P15" s="473"/>
      <c r="Q15" s="472"/>
      <c r="R15" s="473"/>
      <c r="S15" s="204">
        <f t="shared" si="0"/>
        <v>0</v>
      </c>
      <c r="T15" s="205">
        <f t="shared" si="1"/>
        <v>0</v>
      </c>
      <c r="U15" s="54">
        <f t="shared" si="2"/>
        <v>0</v>
      </c>
      <c r="V15" s="5">
        <f t="shared" si="2"/>
        <v>0</v>
      </c>
      <c r="W15" s="380"/>
      <c r="X15" s="397"/>
      <c r="Y15" s="397"/>
      <c r="Z15" s="361"/>
      <c r="AA15" s="361"/>
      <c r="AB15" s="361"/>
      <c r="AC15" s="361"/>
      <c r="AD15" s="361"/>
      <c r="AE15" s="327"/>
      <c r="AG15" s="253">
        <f>IF(AND(AG9=1,AG11=1),1,"")</f>
      </c>
      <c r="AI15" s="9">
        <f t="shared" si="3"/>
        <v>0</v>
      </c>
      <c r="AJ15" s="10">
        <f t="shared" si="4"/>
        <v>0</v>
      </c>
      <c r="AK15" s="9">
        <f t="shared" si="5"/>
        <v>0</v>
      </c>
      <c r="AL15" s="10">
        <f t="shared" si="6"/>
        <v>0</v>
      </c>
      <c r="AM15" s="9">
        <f t="shared" si="7"/>
        <v>0</v>
      </c>
      <c r="AN15" s="10">
        <f t="shared" si="8"/>
        <v>0</v>
      </c>
      <c r="AO15" s="9">
        <f t="shared" si="9"/>
        <v>0</v>
      </c>
      <c r="AP15" s="10">
        <f t="shared" si="10"/>
        <v>0</v>
      </c>
      <c r="AQ15" s="9">
        <f t="shared" si="11"/>
        <v>0</v>
      </c>
      <c r="AR15" s="10">
        <f>IF(Q15="",0,IF(LEFT(Q15,1)="-",(IF(ABS(Q15)&gt;9,(ABS(Q15)+2),11)),Q15))</f>
        <v>0</v>
      </c>
    </row>
    <row r="16" spans="3:44" ht="15">
      <c r="C16" s="53" t="s">
        <v>23</v>
      </c>
      <c r="D16" s="229"/>
      <c r="E16" s="83" t="str">
        <f>IF(E8&gt;0,E8,0)</f>
        <v>Jani Jormanainen</v>
      </c>
      <c r="F16" s="77">
        <f>IF(E11&gt;0,E11,0)</f>
        <v>0</v>
      </c>
      <c r="G16" s="8"/>
      <c r="H16" s="65"/>
      <c r="I16" s="472"/>
      <c r="J16" s="473"/>
      <c r="K16" s="472"/>
      <c r="L16" s="473"/>
      <c r="M16" s="472"/>
      <c r="N16" s="473"/>
      <c r="O16" s="472"/>
      <c r="P16" s="473"/>
      <c r="Q16" s="472"/>
      <c r="R16" s="473"/>
      <c r="S16" s="204">
        <f t="shared" si="0"/>
        <v>0</v>
      </c>
      <c r="T16" s="205">
        <f t="shared" si="1"/>
        <v>0</v>
      </c>
      <c r="U16" s="54">
        <f t="shared" si="2"/>
        <v>0</v>
      </c>
      <c r="V16" s="5">
        <f t="shared" si="2"/>
        <v>0</v>
      </c>
      <c r="W16" s="380"/>
      <c r="X16" s="397"/>
      <c r="Y16" s="397"/>
      <c r="Z16" s="361"/>
      <c r="AA16" s="361"/>
      <c r="AB16" s="361"/>
      <c r="AC16" s="361"/>
      <c r="AD16" s="361"/>
      <c r="AE16" s="327"/>
      <c r="AG16" s="253">
        <f>IF(AND(AG8=1,AG11=1),1,"")</f>
      </c>
      <c r="AI16" s="9">
        <f t="shared" si="3"/>
        <v>0</v>
      </c>
      <c r="AJ16" s="10">
        <f t="shared" si="4"/>
        <v>0</v>
      </c>
      <c r="AK16" s="9">
        <f t="shared" si="5"/>
        <v>0</v>
      </c>
      <c r="AL16" s="10">
        <f t="shared" si="6"/>
        <v>0</v>
      </c>
      <c r="AM16" s="9">
        <f t="shared" si="7"/>
        <v>0</v>
      </c>
      <c r="AN16" s="10">
        <f t="shared" si="8"/>
        <v>0</v>
      </c>
      <c r="AO16" s="9">
        <f t="shared" si="9"/>
        <v>0</v>
      </c>
      <c r="AP16" s="10">
        <f t="shared" si="10"/>
        <v>0</v>
      </c>
      <c r="AQ16" s="9">
        <f t="shared" si="11"/>
        <v>0</v>
      </c>
      <c r="AR16" s="10">
        <f>IF(Q16="",0,IF(LEFT(Q16,1)="-",(IF(ABS(Q16)&gt;9,(ABS(Q16)+2),11)),Q16))</f>
        <v>0</v>
      </c>
    </row>
    <row r="17" spans="3:44" ht="15">
      <c r="C17" s="53" t="s">
        <v>24</v>
      </c>
      <c r="D17" s="229"/>
      <c r="E17" s="83" t="str">
        <f>IF(E9&gt;0,E9,0)</f>
        <v>Aleksi Mustonen</v>
      </c>
      <c r="F17" s="77" t="str">
        <f>IF(E10&gt;0,E10,0)</f>
        <v>Veikka Flemming</v>
      </c>
      <c r="G17" s="8"/>
      <c r="H17" s="65"/>
      <c r="I17" s="472">
        <v>-8</v>
      </c>
      <c r="J17" s="473"/>
      <c r="K17" s="472">
        <v>4</v>
      </c>
      <c r="L17" s="473"/>
      <c r="M17" s="472">
        <v>5</v>
      </c>
      <c r="N17" s="473"/>
      <c r="O17" s="472">
        <v>-8</v>
      </c>
      <c r="P17" s="473"/>
      <c r="Q17" s="472">
        <v>-10</v>
      </c>
      <c r="R17" s="473"/>
      <c r="S17" s="204">
        <f t="shared" si="0"/>
        <v>2</v>
      </c>
      <c r="T17" s="205">
        <f t="shared" si="1"/>
        <v>3</v>
      </c>
      <c r="U17" s="54">
        <f t="shared" si="2"/>
        <v>48</v>
      </c>
      <c r="V17" s="5">
        <f t="shared" si="2"/>
        <v>43</v>
      </c>
      <c r="W17" s="380"/>
      <c r="X17" s="397"/>
      <c r="Y17" s="397"/>
      <c r="Z17" s="361"/>
      <c r="AA17" s="361"/>
      <c r="AB17" s="361"/>
      <c r="AC17" s="361"/>
      <c r="AD17" s="361"/>
      <c r="AE17" s="327"/>
      <c r="AG17" s="253">
        <f>IF(AND(AG9=1,AG10=1),1,"")</f>
      </c>
      <c r="AI17" s="9">
        <f t="shared" si="3"/>
        <v>8</v>
      </c>
      <c r="AJ17" s="10">
        <f t="shared" si="4"/>
        <v>11</v>
      </c>
      <c r="AK17" s="9">
        <f t="shared" si="5"/>
        <v>11</v>
      </c>
      <c r="AL17" s="10">
        <f t="shared" si="6"/>
        <v>4</v>
      </c>
      <c r="AM17" s="9">
        <f t="shared" si="7"/>
        <v>11</v>
      </c>
      <c r="AN17" s="10">
        <f t="shared" si="8"/>
        <v>5</v>
      </c>
      <c r="AO17" s="9">
        <f t="shared" si="9"/>
        <v>8</v>
      </c>
      <c r="AP17" s="10">
        <f t="shared" si="10"/>
        <v>11</v>
      </c>
      <c r="AQ17" s="9">
        <f t="shared" si="11"/>
        <v>10</v>
      </c>
      <c r="AR17" s="10">
        <f>IF(Q17="",0,IF(LEFT(Q17,1)="-",(IF(ABS(Q17)&gt;9,(ABS(Q17)+2),11)),Q17))</f>
        <v>12</v>
      </c>
    </row>
    <row r="18" spans="3:44" ht="15">
      <c r="C18" s="53" t="s">
        <v>25</v>
      </c>
      <c r="D18" s="229"/>
      <c r="E18" s="82" t="str">
        <f>IF(E8&gt;0,E8,0)</f>
        <v>Jani Jormanainen</v>
      </c>
      <c r="F18" s="76" t="str">
        <f>IF(E9&gt;0,E9,0)</f>
        <v>Aleksi Mustonen</v>
      </c>
      <c r="G18" s="8"/>
      <c r="H18" s="4"/>
      <c r="I18" s="474">
        <v>9</v>
      </c>
      <c r="J18" s="473"/>
      <c r="K18" s="472">
        <v>-9</v>
      </c>
      <c r="L18" s="473"/>
      <c r="M18" s="474">
        <v>9</v>
      </c>
      <c r="N18" s="473"/>
      <c r="O18" s="472">
        <v>3</v>
      </c>
      <c r="P18" s="473"/>
      <c r="Q18" s="472"/>
      <c r="R18" s="473"/>
      <c r="S18" s="204">
        <f t="shared" si="0"/>
        <v>3</v>
      </c>
      <c r="T18" s="205">
        <f t="shared" si="1"/>
        <v>1</v>
      </c>
      <c r="U18" s="54">
        <f t="shared" si="2"/>
        <v>42</v>
      </c>
      <c r="V18" s="5">
        <f t="shared" si="2"/>
        <v>32</v>
      </c>
      <c r="W18" s="380"/>
      <c r="X18" s="397"/>
      <c r="Y18" s="397"/>
      <c r="Z18" s="361"/>
      <c r="AA18" s="361"/>
      <c r="AB18" s="361"/>
      <c r="AC18" s="361"/>
      <c r="AD18" s="361"/>
      <c r="AE18" s="327"/>
      <c r="AG18" s="253">
        <f>IF(AND(AG8=1,AG9=1),1,"")</f>
      </c>
      <c r="AI18" s="9">
        <f t="shared" si="3"/>
        <v>11</v>
      </c>
      <c r="AJ18" s="10">
        <f t="shared" si="4"/>
        <v>9</v>
      </c>
      <c r="AK18" s="9">
        <f t="shared" si="5"/>
        <v>9</v>
      </c>
      <c r="AL18" s="10">
        <f t="shared" si="6"/>
        <v>11</v>
      </c>
      <c r="AM18" s="9">
        <f t="shared" si="7"/>
        <v>11</v>
      </c>
      <c r="AN18" s="10">
        <f t="shared" si="8"/>
        <v>9</v>
      </c>
      <c r="AO18" s="9">
        <f t="shared" si="9"/>
        <v>11</v>
      </c>
      <c r="AP18" s="10">
        <f t="shared" si="10"/>
        <v>3</v>
      </c>
      <c r="AQ18" s="9">
        <f t="shared" si="11"/>
        <v>0</v>
      </c>
      <c r="AR18" s="10">
        <f>IF(Q18="",0,IF(LEFT(Q18,1)="-",(IF(ABS(Q18)&gt;9,(ABS(Q18)+2),11)),Q18))</f>
        <v>0</v>
      </c>
    </row>
    <row r="19" spans="3:44" ht="15.75" thickBot="1">
      <c r="C19" s="56" t="s">
        <v>26</v>
      </c>
      <c r="D19" s="230"/>
      <c r="E19" s="84" t="str">
        <f>IF(E10&gt;0,E10,0)</f>
        <v>Veikka Flemming</v>
      </c>
      <c r="F19" s="78">
        <f>IF(E11&gt;0,E11,0)</f>
        <v>0</v>
      </c>
      <c r="G19" s="1"/>
      <c r="H19" s="28"/>
      <c r="I19" s="470"/>
      <c r="J19" s="475"/>
      <c r="K19" s="470"/>
      <c r="L19" s="475"/>
      <c r="M19" s="470"/>
      <c r="N19" s="475"/>
      <c r="O19" s="470"/>
      <c r="P19" s="475"/>
      <c r="Q19" s="470"/>
      <c r="R19" s="475"/>
      <c r="S19" s="206">
        <f t="shared" si="0"/>
        <v>0</v>
      </c>
      <c r="T19" s="207">
        <f t="shared" si="1"/>
        <v>0</v>
      </c>
      <c r="U19" s="386">
        <f t="shared" si="2"/>
        <v>0</v>
      </c>
      <c r="V19" s="387">
        <f t="shared" si="2"/>
        <v>0</v>
      </c>
      <c r="W19" s="380"/>
      <c r="X19" s="397"/>
      <c r="Y19" s="397"/>
      <c r="Z19" s="361"/>
      <c r="AA19" s="361"/>
      <c r="AB19" s="361"/>
      <c r="AC19" s="361"/>
      <c r="AD19" s="361"/>
      <c r="AE19" s="327"/>
      <c r="AG19" s="253">
        <f>IF(AND(AG10=1,AG11=1),1,"")</f>
      </c>
      <c r="AI19" s="11">
        <f t="shared" si="3"/>
        <v>0</v>
      </c>
      <c r="AJ19" s="12">
        <f t="shared" si="4"/>
        <v>0</v>
      </c>
      <c r="AK19" s="11">
        <f t="shared" si="5"/>
        <v>0</v>
      </c>
      <c r="AL19" s="12">
        <f t="shared" si="6"/>
        <v>0</v>
      </c>
      <c r="AM19" s="11">
        <f t="shared" si="7"/>
        <v>0</v>
      </c>
      <c r="AN19" s="12">
        <f t="shared" si="8"/>
        <v>0</v>
      </c>
      <c r="AO19" s="11">
        <f t="shared" si="9"/>
        <v>0</v>
      </c>
      <c r="AP19" s="12">
        <f t="shared" si="10"/>
        <v>0</v>
      </c>
      <c r="AQ19" s="11">
        <f t="shared" si="11"/>
        <v>0</v>
      </c>
      <c r="AR19" s="12">
        <f>IF(Q19=0,0,IF(LEFT(Q19,1)="-",(IF(ABS(Q19)&gt;9,(ABS(Q19)+2),11)),Q19))</f>
        <v>0</v>
      </c>
    </row>
    <row r="20" spans="24:31" ht="15">
      <c r="X20" s="362"/>
      <c r="Y20" s="362"/>
      <c r="Z20" s="362"/>
      <c r="AA20" s="362"/>
      <c r="AB20" s="362"/>
      <c r="AC20" s="362"/>
      <c r="AD20" s="362"/>
      <c r="AE20" s="327"/>
    </row>
    <row r="21" spans="24:31" ht="15.75" thickBot="1">
      <c r="X21" s="362"/>
      <c r="Y21" s="362"/>
      <c r="Z21" s="362"/>
      <c r="AA21" s="362"/>
      <c r="AB21" s="362"/>
      <c r="AC21" s="362"/>
      <c r="AD21" s="362"/>
      <c r="AE21" s="327"/>
    </row>
    <row r="22" spans="3:31" ht="15.75">
      <c r="C22" s="87"/>
      <c r="D22" s="226"/>
      <c r="E22" s="195" t="str">
        <f>$E$5</f>
        <v>TOP-12 1-karsinta</v>
      </c>
      <c r="F22" s="35"/>
      <c r="G22" s="35"/>
      <c r="H22" s="35"/>
      <c r="I22" s="36"/>
      <c r="J22" s="35"/>
      <c r="K22" s="37"/>
      <c r="L22" s="37"/>
      <c r="M22" s="495"/>
      <c r="N22" s="496"/>
      <c r="O22" s="496"/>
      <c r="P22" s="497"/>
      <c r="Q22" s="39" t="s">
        <v>0</v>
      </c>
      <c r="R22" s="40"/>
      <c r="S22" s="498" t="s">
        <v>41</v>
      </c>
      <c r="T22" s="499"/>
      <c r="U22" s="499"/>
      <c r="V22" s="500"/>
      <c r="X22" s="362"/>
      <c r="Y22" s="362"/>
      <c r="Z22" s="362"/>
      <c r="AA22" s="362"/>
      <c r="AB22" s="362"/>
      <c r="AC22" s="362"/>
      <c r="AD22" s="362"/>
      <c r="AE22" s="327"/>
    </row>
    <row r="23" spans="3:47" ht="16.5" thickBot="1">
      <c r="C23" s="88"/>
      <c r="D23" s="231"/>
      <c r="E23" s="196" t="str">
        <f>$E$6</f>
        <v>SPTL</v>
      </c>
      <c r="F23" s="100" t="s">
        <v>1</v>
      </c>
      <c r="G23" s="447">
        <v>5.6</v>
      </c>
      <c r="H23" s="468"/>
      <c r="I23" s="469"/>
      <c r="J23" s="509" t="s">
        <v>2</v>
      </c>
      <c r="K23" s="505"/>
      <c r="L23" s="505"/>
      <c r="M23" s="451">
        <f>$M$6</f>
        <v>42280</v>
      </c>
      <c r="N23" s="451"/>
      <c r="O23" s="451"/>
      <c r="P23" s="452"/>
      <c r="Q23" s="101" t="s">
        <v>3</v>
      </c>
      <c r="R23" s="102"/>
      <c r="S23" s="437" t="str">
        <f>$S$6</f>
        <v>11:00</v>
      </c>
      <c r="T23" s="438"/>
      <c r="U23" s="438"/>
      <c r="V23" s="510"/>
      <c r="X23" s="362"/>
      <c r="Y23" s="362"/>
      <c r="Z23" s="362"/>
      <c r="AA23" s="362"/>
      <c r="AB23" s="362"/>
      <c r="AC23" s="362"/>
      <c r="AD23" s="362"/>
      <c r="AE23" s="327"/>
      <c r="AU23" t="s">
        <v>20</v>
      </c>
    </row>
    <row r="24" spans="3:73" ht="15.75" thickBot="1">
      <c r="C24" s="43"/>
      <c r="D24" s="239" t="s">
        <v>68</v>
      </c>
      <c r="E24" s="317" t="s">
        <v>4</v>
      </c>
      <c r="F24" s="176" t="s">
        <v>5</v>
      </c>
      <c r="G24" s="446" t="s">
        <v>6</v>
      </c>
      <c r="H24" s="491"/>
      <c r="I24" s="492" t="s">
        <v>7</v>
      </c>
      <c r="J24" s="493"/>
      <c r="K24" s="494" t="s">
        <v>8</v>
      </c>
      <c r="L24" s="491"/>
      <c r="M24" s="492" t="s">
        <v>9</v>
      </c>
      <c r="N24" s="493"/>
      <c r="O24" s="461"/>
      <c r="P24" s="454"/>
      <c r="Q24" s="44" t="s">
        <v>10</v>
      </c>
      <c r="R24" s="45" t="s">
        <v>11</v>
      </c>
      <c r="S24" s="446" t="s">
        <v>69</v>
      </c>
      <c r="T24" s="441"/>
      <c r="U24" s="480" t="s">
        <v>12</v>
      </c>
      <c r="V24" s="454"/>
      <c r="Y24" s="330" t="s">
        <v>74</v>
      </c>
      <c r="Z24" s="300"/>
      <c r="AA24" s="300"/>
      <c r="AB24" s="324"/>
      <c r="AC24" s="337" t="s">
        <v>73</v>
      </c>
      <c r="AD24" s="362"/>
      <c r="AE24" s="327"/>
      <c r="AG24" s="197" t="s">
        <v>65</v>
      </c>
      <c r="AI24" s="330" t="s">
        <v>74</v>
      </c>
      <c r="AJ24" s="300"/>
      <c r="AK24" s="300"/>
      <c r="AL24" s="324"/>
      <c r="AM24" s="337" t="s">
        <v>73</v>
      </c>
      <c r="AU24" s="533" t="s">
        <v>6</v>
      </c>
      <c r="AV24" s="532"/>
      <c r="AW24" s="534" t="s">
        <v>7</v>
      </c>
      <c r="AX24" s="535"/>
      <c r="AY24" s="531" t="s">
        <v>8</v>
      </c>
      <c r="AZ24" s="532"/>
      <c r="BA24" s="403" t="s">
        <v>9</v>
      </c>
      <c r="BB24" s="404"/>
      <c r="BC24" s="267" t="s">
        <v>66</v>
      </c>
      <c r="BD24" s="268"/>
      <c r="BE24" s="277" t="s">
        <v>71</v>
      </c>
      <c r="BK24" s="343" t="s">
        <v>72</v>
      </c>
      <c r="BL24" s="344"/>
      <c r="BM24" s="344"/>
      <c r="BN24" s="345"/>
      <c r="BO24" s="345"/>
      <c r="BP24" s="345"/>
      <c r="BQ24" s="345"/>
      <c r="BR24" s="345"/>
      <c r="BS24" s="346" t="s">
        <v>76</v>
      </c>
      <c r="BT24" s="347"/>
      <c r="BU24" s="352" t="s">
        <v>71</v>
      </c>
    </row>
    <row r="25" spans="2:73" ht="15.75">
      <c r="B25" s="33">
        <f>U25</f>
        <v>2</v>
      </c>
      <c r="C25" s="46" t="s">
        <v>6</v>
      </c>
      <c r="D25" s="240">
        <v>2264</v>
      </c>
      <c r="E25" s="79" t="s">
        <v>94</v>
      </c>
      <c r="F25" s="192" t="s">
        <v>95</v>
      </c>
      <c r="G25" s="128"/>
      <c r="H25" s="118"/>
      <c r="I25" s="131">
        <f>+S35</f>
        <v>2</v>
      </c>
      <c r="J25" s="119">
        <f>+T35</f>
        <v>3</v>
      </c>
      <c r="K25" s="135">
        <f>S31</f>
        <v>3</v>
      </c>
      <c r="L25" s="77">
        <f>T31</f>
        <v>1</v>
      </c>
      <c r="M25" s="131">
        <f>S33</f>
        <v>3</v>
      </c>
      <c r="N25" s="119">
        <f>T33</f>
        <v>1</v>
      </c>
      <c r="O25" s="77"/>
      <c r="P25" s="120"/>
      <c r="Q25" s="198">
        <f>IF(SUM(G25:P25)=0,0,COUNTIF(H25:H28,"3"))</f>
        <v>2</v>
      </c>
      <c r="R25" s="199">
        <f>IF(SUM(H25:Q25)=0,0,COUNTIF(G25:G28,"3"))</f>
        <v>1</v>
      </c>
      <c r="S25" s="407">
        <f>+AC25</f>
        <v>5</v>
      </c>
      <c r="T25" s="408"/>
      <c r="U25" s="481">
        <v>2</v>
      </c>
      <c r="V25" s="482"/>
      <c r="Y25" s="331"/>
      <c r="Z25" s="250">
        <f>IF($S35=3,2,IF($W35=1,0,1))</f>
        <v>1</v>
      </c>
      <c r="AA25" s="250">
        <f>IF($S31=3,2,IF($W31=1,0,1))</f>
        <v>2</v>
      </c>
      <c r="AB25" s="250">
        <f>IF($S33=3,2,IF($W33=1,0,1))</f>
        <v>2</v>
      </c>
      <c r="AC25" s="332">
        <f>SUM(Y25:AB25)</f>
        <v>5</v>
      </c>
      <c r="AD25" s="362"/>
      <c r="AE25" s="327"/>
      <c r="AG25" s="380"/>
      <c r="AH25" s="246"/>
      <c r="AI25" s="331"/>
      <c r="AJ25" s="250">
        <f>IF($AG35=1,IF($S35=3,2,IF($W35=1,0,1)),"")</f>
      </c>
      <c r="AK25" s="250">
        <f>IF($AG31=1,IF($S31=3,2,IF($W31=1,0,1)),"")</f>
      </c>
      <c r="AL25" s="250">
        <f>IF($AG33=1,IF($S33=3,2,IF($W33=1,0,1)),"")</f>
      </c>
      <c r="AM25" s="332">
        <f>SUM(AI25:AL25)</f>
        <v>0</v>
      </c>
      <c r="AU25" s="269"/>
      <c r="AV25" s="249"/>
      <c r="AW25" s="250">
        <f>IF($AG35=1,S35,"")</f>
      </c>
      <c r="AX25" s="250">
        <f>IF($AG35=1,T35,"")</f>
      </c>
      <c r="AY25" s="250">
        <f>IF($AG31=1,S31,"")</f>
      </c>
      <c r="AZ25" s="250">
        <f>IF($AG31=1,T31,"")</f>
      </c>
      <c r="BA25" s="250">
        <f>IF($AG33=1,S33,"")</f>
      </c>
      <c r="BB25" s="251">
        <f>IF($AG33=1,T33,"")</f>
      </c>
      <c r="BC25" s="254">
        <f>IF(SUM(AU25:BB25)=0,"",SUM(AV25:AV28))</f>
      </c>
      <c r="BD25" s="254">
        <f>IF(SUM(AU25:BB25)=0,"",SUM(AU25:AU28))</f>
      </c>
      <c r="BE25" s="326">
        <f>IF(AG25=1,IF(BC25=0,0,IF(BD25=0,BC25,BC25/BD25)),"")</f>
      </c>
      <c r="BK25" s="291"/>
      <c r="BL25" s="292"/>
      <c r="BM25" s="295">
        <f>IF($AG35=1,U35,0)</f>
        <v>0</v>
      </c>
      <c r="BN25" s="296">
        <f>IF($AG35=1,V35,0)</f>
        <v>0</v>
      </c>
      <c r="BO25" s="295">
        <f>IF($AG31=1,U31,0)</f>
        <v>0</v>
      </c>
      <c r="BP25" s="296">
        <f>IF($AG31=1,V31,0)</f>
        <v>0</v>
      </c>
      <c r="BQ25" s="295">
        <f>IF($AG33=1,U33,0)</f>
        <v>0</v>
      </c>
      <c r="BR25" s="297">
        <f>IF($AG33=1,V33,0)</f>
        <v>0</v>
      </c>
      <c r="BS25" s="309">
        <f>+BM25+BO25+BQ25</f>
        <v>0</v>
      </c>
      <c r="BT25" s="296">
        <f>+BN25+BP25+BR25</f>
        <v>0</v>
      </c>
      <c r="BU25" s="355">
        <f>IF(AG25=1,IF(BS25=0,0,IF(BT25=0,BS25,BS25/BT25)),"")</f>
      </c>
    </row>
    <row r="26" spans="2:73" ht="15.75">
      <c r="B26" s="33">
        <f>U26</f>
        <v>1</v>
      </c>
      <c r="C26" s="47" t="s">
        <v>7</v>
      </c>
      <c r="D26" s="240">
        <v>2227</v>
      </c>
      <c r="E26" s="79" t="s">
        <v>96</v>
      </c>
      <c r="F26" s="192" t="s">
        <v>93</v>
      </c>
      <c r="G26" s="129">
        <f>+T35</f>
        <v>3</v>
      </c>
      <c r="H26" s="76">
        <f>+S35</f>
        <v>2</v>
      </c>
      <c r="I26" s="132"/>
      <c r="J26" s="121"/>
      <c r="K26" s="136">
        <f>S34</f>
        <v>3</v>
      </c>
      <c r="L26" s="76">
        <f>T34</f>
        <v>2</v>
      </c>
      <c r="M26" s="133">
        <f>S32</f>
        <v>3</v>
      </c>
      <c r="N26" s="122">
        <f>T32</f>
        <v>0</v>
      </c>
      <c r="O26" s="76"/>
      <c r="P26" s="123"/>
      <c r="Q26" s="198">
        <f>IF(SUM(G26:P26)=0,0,COUNTIF(J25:J28,"3"))</f>
        <v>3</v>
      </c>
      <c r="R26" s="199">
        <f>IF(SUM(H26:Q26)=0,0,COUNTIF(I25:I28,"3"))</f>
        <v>0</v>
      </c>
      <c r="S26" s="407">
        <f>+AC26</f>
        <v>6</v>
      </c>
      <c r="T26" s="408"/>
      <c r="U26" s="481">
        <v>1</v>
      </c>
      <c r="V26" s="482"/>
      <c r="Y26" s="250">
        <f>IF($T35=3,2,IF($W35=1,0,1))</f>
        <v>2</v>
      </c>
      <c r="Z26" s="331"/>
      <c r="AA26" s="250">
        <f>IF($S34=3,2,IF($W34=1,0,1))</f>
        <v>2</v>
      </c>
      <c r="AB26" s="250">
        <f>IF($S32=3,2,IF($W32=1,0,1))</f>
        <v>2</v>
      </c>
      <c r="AC26" s="332">
        <f>SUM(Y26:AB26)</f>
        <v>6</v>
      </c>
      <c r="AD26" s="362"/>
      <c r="AE26" s="327"/>
      <c r="AG26" s="380"/>
      <c r="AH26" s="246"/>
      <c r="AI26" s="250">
        <f>IF($AG35=1,IF($T35=3,2,IF($W35=1,0,1)),"")</f>
      </c>
      <c r="AJ26" s="331"/>
      <c r="AK26" s="250">
        <f>IF($AG34=1,IF($S34=3,2,IF($W34=1,0,1)),"")</f>
      </c>
      <c r="AL26" s="250">
        <f>IF($AG32=1,IF($S32=3,2,IF($W32=1,0,1)),"")</f>
      </c>
      <c r="AM26" s="332">
        <f>SUM(AI26:AL26)</f>
        <v>0</v>
      </c>
      <c r="AU26" s="270">
        <f>IF($AG35=1,T35,"")</f>
      </c>
      <c r="AV26" s="250">
        <f>IF($AG35=1,S35,"")</f>
      </c>
      <c r="AW26" s="248"/>
      <c r="AX26" s="249"/>
      <c r="AY26" s="250">
        <f>IF($AG34=1,S34,"")</f>
      </c>
      <c r="AZ26" s="250">
        <f>IF($AG34=1,T34,"")</f>
      </c>
      <c r="BA26" s="250">
        <f>IF($AG32=1,S32,"")</f>
      </c>
      <c r="BB26" s="251">
        <f>IF($AG32=1,T32,"")</f>
      </c>
      <c r="BC26" s="254">
        <f>IF(SUM(AU26:BB26)=0,"",SUM(AX25:AX28))</f>
      </c>
      <c r="BD26" s="255">
        <f>IF(SUM(AU26:BB26)=0,"",SUM(AW25:AW28))</f>
      </c>
      <c r="BE26" s="326">
        <f>IF(AG26=1,IF(BC26=0,0,IF(BD26=0,BC26,BC26/BD26)),"")</f>
      </c>
      <c r="BK26" s="270">
        <f>IF($AG35=1,V35,0)</f>
        <v>0</v>
      </c>
      <c r="BL26" s="287">
        <f>IF($AG35=1,U35,0)</f>
        <v>0</v>
      </c>
      <c r="BM26" s="289"/>
      <c r="BN26" s="290"/>
      <c r="BO26" s="270">
        <f>IF($AG34=1,U34,0)</f>
        <v>0</v>
      </c>
      <c r="BP26" s="287">
        <f>IF($AG34=1,V34,0)</f>
        <v>0</v>
      </c>
      <c r="BQ26" s="270">
        <f>IF($AG32=1,U32,0)</f>
        <v>0</v>
      </c>
      <c r="BR26" s="251">
        <f>IF($AG32=1,V32,0)</f>
        <v>0</v>
      </c>
      <c r="BS26" s="309">
        <f>+BK26+BO26+BQ26</f>
        <v>0</v>
      </c>
      <c r="BT26" s="342">
        <f>+BL26+BN26+BP26+BR26</f>
        <v>0</v>
      </c>
      <c r="BU26" s="353">
        <f>IF(AG26=1,IF(BS26=0,0,IF(BT26=0,BS26,BS26/BT26)),"")</f>
      </c>
    </row>
    <row r="27" spans="2:73" ht="15.75">
      <c r="B27" s="33">
        <f>U27</f>
        <v>3</v>
      </c>
      <c r="C27" s="47" t="s">
        <v>8</v>
      </c>
      <c r="D27" s="240">
        <v>2195</v>
      </c>
      <c r="E27" s="79" t="s">
        <v>97</v>
      </c>
      <c r="F27" s="193" t="s">
        <v>98</v>
      </c>
      <c r="G27" s="129">
        <f>+T31</f>
        <v>1</v>
      </c>
      <c r="H27" s="76">
        <f>+S31</f>
        <v>3</v>
      </c>
      <c r="I27" s="133">
        <f>T34</f>
        <v>2</v>
      </c>
      <c r="J27" s="122">
        <f>S34</f>
        <v>3</v>
      </c>
      <c r="K27" s="137"/>
      <c r="L27" s="124"/>
      <c r="M27" s="133">
        <f>S36</f>
        <v>3</v>
      </c>
      <c r="N27" s="122">
        <f>T36</f>
        <v>1</v>
      </c>
      <c r="O27" s="76"/>
      <c r="P27" s="123"/>
      <c r="Q27" s="198">
        <f>IF(SUM(G27:P27)=0,0,COUNTIF(L25:L28,"3"))</f>
        <v>1</v>
      </c>
      <c r="R27" s="199">
        <f>IF(SUM(H27:Q27)=0,0,COUNTIF(K25:K28,"3"))</f>
        <v>2</v>
      </c>
      <c r="S27" s="407">
        <f>+AC27</f>
        <v>4</v>
      </c>
      <c r="T27" s="408"/>
      <c r="U27" s="481">
        <v>3</v>
      </c>
      <c r="V27" s="482"/>
      <c r="Y27" s="250">
        <f>IF($T31=3,2,IF($W31=1,0,1))</f>
        <v>1</v>
      </c>
      <c r="Z27" s="250">
        <f>IF($T34=3,2,IF($W34=1,0,1))</f>
        <v>1</v>
      </c>
      <c r="AA27" s="331"/>
      <c r="AB27" s="250">
        <f>IF($S36=3,2,IF($W36=1,0,1))</f>
        <v>2</v>
      </c>
      <c r="AC27" s="332">
        <f>SUM(Y27:AB27)</f>
        <v>4</v>
      </c>
      <c r="AD27" s="362"/>
      <c r="AE27" s="327"/>
      <c r="AG27" s="380"/>
      <c r="AH27" s="246"/>
      <c r="AI27" s="250">
        <f>IF($AG31=1,IF($T31=3,2,IF($W31=1,0,1)),"")</f>
      </c>
      <c r="AJ27" s="250">
        <f>IF($AG34=1,IF($T34=3,2,IF($W34=1,0,1)),"")</f>
      </c>
      <c r="AK27" s="331"/>
      <c r="AL27" s="250">
        <f>IF($AG36=1,IF($S36=3,2,IF($W36=1,0,1)),"")</f>
      </c>
      <c r="AM27" s="332">
        <f>SUM(AI27:AL27)</f>
        <v>0</v>
      </c>
      <c r="AU27" s="270">
        <f>IF($AG31=1,T31,"")</f>
      </c>
      <c r="AV27" s="250">
        <f>IF($AG31=1,S31,"")</f>
      </c>
      <c r="AW27" s="250">
        <f>IF($AG34=1,T34,"")</f>
      </c>
      <c r="AX27" s="250">
        <f>IF($AG34=1,S34,"")</f>
      </c>
      <c r="AY27" s="248"/>
      <c r="AZ27" s="249"/>
      <c r="BA27" s="250">
        <f>IF($AG36=1,S36,"")</f>
      </c>
      <c r="BB27" s="251">
        <f>IF($AG36=1,T36,"")</f>
      </c>
      <c r="BC27" s="254">
        <f>IF(SUM(AU27:BB27)=0,"",SUM(AZ25:AZ28))</f>
      </c>
      <c r="BD27" s="256">
        <f>IF(SUM(AU27:BB27)=0,"",SUM(AY25:AY28))</f>
      </c>
      <c r="BE27" s="326">
        <f>IF(AG27=1,IF(BC27=0,0,IF(BD27=0,BC27,BC27/BD27)),"")</f>
      </c>
      <c r="BK27" s="270">
        <f>IF($AG31=1,V31,0)</f>
        <v>0</v>
      </c>
      <c r="BL27" s="287">
        <f>IF($AG31=1,U31,0)</f>
        <v>0</v>
      </c>
      <c r="BM27" s="270">
        <f>IF($AG34=1,V34,0)</f>
        <v>0</v>
      </c>
      <c r="BN27" s="287">
        <f>IF($AG34=1,U34,0)</f>
        <v>0</v>
      </c>
      <c r="BO27" s="291"/>
      <c r="BP27" s="292"/>
      <c r="BQ27" s="270">
        <f>IF($AG36=1,U36,0)</f>
        <v>0</v>
      </c>
      <c r="BR27" s="251">
        <f>IF($AG36=1,V36,0)</f>
        <v>0</v>
      </c>
      <c r="BS27" s="309">
        <f>+BK27+BM27+BQ27</f>
        <v>0</v>
      </c>
      <c r="BT27" s="342">
        <f>+BL27+BN27+BP27+BR27</f>
        <v>0</v>
      </c>
      <c r="BU27" s="353">
        <f>IF(AG27=1,IF(BS27=0,0,IF(BT27=0,BS27,BS27/BT27)),"")</f>
      </c>
    </row>
    <row r="28" spans="2:73" ht="16.5" thickBot="1">
      <c r="B28" s="33">
        <f>U28</f>
        <v>4</v>
      </c>
      <c r="C28" s="48" t="s">
        <v>9</v>
      </c>
      <c r="D28" s="241">
        <v>2050</v>
      </c>
      <c r="E28" s="80" t="s">
        <v>99</v>
      </c>
      <c r="F28" s="245" t="s">
        <v>93</v>
      </c>
      <c r="G28" s="130">
        <f>T33</f>
        <v>1</v>
      </c>
      <c r="H28" s="78">
        <f>S33</f>
        <v>3</v>
      </c>
      <c r="I28" s="134">
        <f>T32</f>
        <v>0</v>
      </c>
      <c r="J28" s="125">
        <f>S32</f>
        <v>3</v>
      </c>
      <c r="K28" s="138">
        <f>T36</f>
        <v>1</v>
      </c>
      <c r="L28" s="78">
        <f>S36</f>
        <v>3</v>
      </c>
      <c r="M28" s="139"/>
      <c r="N28" s="126"/>
      <c r="O28" s="78"/>
      <c r="P28" s="127"/>
      <c r="Q28" s="200">
        <f>IF(SUM(G28:P28)=0,0,COUNTIF(N25:N28,"3"))</f>
        <v>0</v>
      </c>
      <c r="R28" s="201">
        <f>IF(SUM(H28:Q28)=0,0,COUNTIF(M25:M28,"3"))</f>
        <v>3</v>
      </c>
      <c r="S28" s="407">
        <f>+AC28</f>
        <v>3</v>
      </c>
      <c r="T28" s="408"/>
      <c r="U28" s="487">
        <v>4</v>
      </c>
      <c r="V28" s="488"/>
      <c r="Y28" s="250">
        <f>IF($T33=3,2,IF($W33=1,0,1))</f>
        <v>1</v>
      </c>
      <c r="Z28" s="250">
        <f>IF($T32=3,2,IF($W32=1,0,1))</f>
        <v>1</v>
      </c>
      <c r="AA28" s="250">
        <f>IF($T36=3,2,IF($W36=1,0,1))</f>
        <v>1</v>
      </c>
      <c r="AB28" s="331"/>
      <c r="AC28" s="332">
        <f>SUM(Y28:AB28)</f>
        <v>3</v>
      </c>
      <c r="AD28" s="362"/>
      <c r="AE28" s="327"/>
      <c r="AG28" s="380"/>
      <c r="AH28" s="246"/>
      <c r="AI28" s="250">
        <f>IF($AG33=1,IF($T33=3,2,IF($W33=1,0,1)),"")</f>
      </c>
      <c r="AJ28" s="250">
        <f>IF($AG32=1,IF($T32=3,2,IF($W32=1,0,1)),"")</f>
      </c>
      <c r="AK28" s="250">
        <f>IF($AG36=1,IF($T36=3,2,IF($W36=1,0,1)),"")</f>
      </c>
      <c r="AL28" s="331"/>
      <c r="AM28" s="332">
        <f>SUM(AI28:AL28)</f>
        <v>0</v>
      </c>
      <c r="AU28" s="271">
        <f>IF($AG33=1,T33,"")</f>
      </c>
      <c r="AV28" s="272">
        <f>IF($AG33=1,S33,"")</f>
      </c>
      <c r="AW28" s="272">
        <f>IF($AG32=1,T32,"")</f>
      </c>
      <c r="AX28" s="272">
        <f>IF($AG32=1,S32,"")</f>
      </c>
      <c r="AY28" s="272">
        <f>IF($AG36=1,T36,"")</f>
      </c>
      <c r="AZ28" s="272">
        <f>IF($AG36=1,S36,"")</f>
      </c>
      <c r="BA28" s="273"/>
      <c r="BB28" s="274"/>
      <c r="BC28" s="275">
        <f>IF(SUM(AU28:BB28)=0,"",SUM(BB26:BB30))</f>
      </c>
      <c r="BD28" s="276">
        <f>IF(SUM(AU28:BB28)=0,"",SUM(BA26:BA30))</f>
      </c>
      <c r="BE28" s="326">
        <f>IF(AG28=1,IF(BC28=0,0,IF(BD28=0,BC28,BC28/BD28)),"")</f>
      </c>
      <c r="BK28" s="271">
        <f>IF($AG33=1,V33,0)</f>
        <v>0</v>
      </c>
      <c r="BL28" s="288">
        <f>IF($AG33=1,U33,0)</f>
        <v>0</v>
      </c>
      <c r="BM28" s="271">
        <f>IF($AG32=1,V32,0)</f>
        <v>0</v>
      </c>
      <c r="BN28" s="288">
        <f>IF($AG32=1,U32,0)</f>
        <v>0</v>
      </c>
      <c r="BO28" s="271">
        <f>IF($AG36=1,V36,0)</f>
        <v>0</v>
      </c>
      <c r="BP28" s="288">
        <f>IF($AG36=1,U36,0)</f>
        <v>0</v>
      </c>
      <c r="BQ28" s="293"/>
      <c r="BR28" s="294"/>
      <c r="BS28" s="308">
        <f>+BK28+BM28+BO28</f>
        <v>0</v>
      </c>
      <c r="BT28" s="358">
        <f>+BL28+BN28+BP28+BR28</f>
        <v>0</v>
      </c>
      <c r="BU28" s="354">
        <f>IF(AG28=1,IF(BS28=0,0,IF(BT28=0,BS28,BS28/BT28)),"")</f>
      </c>
    </row>
    <row r="29" spans="3:31" ht="15">
      <c r="C29" s="52"/>
      <c r="D29" s="228"/>
      <c r="E29" s="67" t="s">
        <v>67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2"/>
      <c r="V29" s="103"/>
      <c r="X29" s="362"/>
      <c r="Y29" s="362"/>
      <c r="Z29" s="362"/>
      <c r="AA29" s="362"/>
      <c r="AB29" s="362"/>
      <c r="AC29" s="362"/>
      <c r="AD29" s="362"/>
      <c r="AE29" s="327"/>
    </row>
    <row r="30" spans="3:31" ht="15.75" thickBot="1">
      <c r="C30" s="52"/>
      <c r="D30" s="228"/>
      <c r="E30" s="66" t="s">
        <v>14</v>
      </c>
      <c r="F30" s="1"/>
      <c r="G30" s="1"/>
      <c r="H30" s="2"/>
      <c r="I30" s="483" t="s">
        <v>15</v>
      </c>
      <c r="J30" s="484"/>
      <c r="K30" s="485" t="s">
        <v>16</v>
      </c>
      <c r="L30" s="484"/>
      <c r="M30" s="485" t="s">
        <v>17</v>
      </c>
      <c r="N30" s="484"/>
      <c r="O30" s="485" t="s">
        <v>18</v>
      </c>
      <c r="P30" s="484"/>
      <c r="Q30" s="485" t="s">
        <v>19</v>
      </c>
      <c r="R30" s="484"/>
      <c r="S30" s="442" t="s">
        <v>20</v>
      </c>
      <c r="T30" s="429"/>
      <c r="U30" s="259" t="s">
        <v>13</v>
      </c>
      <c r="V30" s="260"/>
      <c r="W30" s="377" t="s">
        <v>70</v>
      </c>
      <c r="X30" s="250" t="s">
        <v>80</v>
      </c>
      <c r="Y30" s="250" t="s">
        <v>81</v>
      </c>
      <c r="Z30" s="361"/>
      <c r="AA30" s="361"/>
      <c r="AB30" s="361"/>
      <c r="AC30" s="361"/>
      <c r="AD30" s="361"/>
      <c r="AE30" s="327"/>
    </row>
    <row r="31" spans="3:44" ht="15">
      <c r="C31" s="53" t="s">
        <v>21</v>
      </c>
      <c r="D31" s="229"/>
      <c r="E31" s="82" t="str">
        <f>IF(E25&gt;0,E25,0)</f>
        <v>Mika Tuomola</v>
      </c>
      <c r="F31" s="75" t="str">
        <f>IF(E27&gt;0,E27,0)</f>
        <v>Mika Rauvola</v>
      </c>
      <c r="G31" s="3"/>
      <c r="H31" s="4"/>
      <c r="I31" s="477">
        <v>6</v>
      </c>
      <c r="J31" s="479"/>
      <c r="K31" s="477">
        <v>8</v>
      </c>
      <c r="L31" s="479"/>
      <c r="M31" s="477">
        <v>-7</v>
      </c>
      <c r="N31" s="479"/>
      <c r="O31" s="477">
        <v>2</v>
      </c>
      <c r="P31" s="479"/>
      <c r="Q31" s="486"/>
      <c r="R31" s="478"/>
      <c r="S31" s="208">
        <f aca="true" t="shared" si="12" ref="S31:S36">IF(COUNT(I31:Q31)=0,0,COUNTIF(I31:Q31,"&gt;=0"))</f>
        <v>3</v>
      </c>
      <c r="T31" s="209">
        <f aca="true" t="shared" si="13" ref="T31:T36">IF(COUNTA(I31:Q31)=0,0,(IF(LEFT(I31,1)="-",1,0)+IF(LEFT(K31,1)="-",1,0)+IF(LEFT(M31,1)="-",1,0)+IF(LEFT(O31,1)="-",1,0)+IF(LEFT(Q31,1)="-",1,0)))</f>
        <v>1</v>
      </c>
      <c r="U31" s="257">
        <f aca="true" t="shared" si="14" ref="U31:V36">+AI31+AK31+AM31+AO31+AQ31</f>
        <v>40</v>
      </c>
      <c r="V31" s="258">
        <f t="shared" si="14"/>
        <v>27</v>
      </c>
      <c r="W31" s="380"/>
      <c r="X31" s="397"/>
      <c r="Y31" s="397"/>
      <c r="Z31" s="361"/>
      <c r="AA31" s="361"/>
      <c r="AB31" s="361"/>
      <c r="AC31" s="361"/>
      <c r="AD31" s="361"/>
      <c r="AE31" s="327"/>
      <c r="AG31" s="253">
        <f>IF(AND(AG25=1,AG27=1),1,"")</f>
      </c>
      <c r="AI31" s="6">
        <f aca="true" t="shared" si="15" ref="AI31:AI36">IF(I31="",0,IF(LEFT(I31,1)="-",ABS(I31),(IF(I31&gt;9,I31+2,11))))</f>
        <v>11</v>
      </c>
      <c r="AJ31" s="7">
        <f aca="true" t="shared" si="16" ref="AJ31:AJ36">IF(I31="",0,IF(LEFT(I31,1)="-",(IF(ABS(I31)&gt;9,(ABS(I31)+2),11)),I31))</f>
        <v>6</v>
      </c>
      <c r="AK31" s="6">
        <f aca="true" t="shared" si="17" ref="AK31:AK36">IF(K31="",0,IF(LEFT(K31,1)="-",ABS(K31),(IF(K31&gt;9,K31+2,11))))</f>
        <v>11</v>
      </c>
      <c r="AL31" s="7">
        <f aca="true" t="shared" si="18" ref="AL31:AL36">IF(K31="",0,IF(LEFT(K31,1)="-",(IF(ABS(K31)&gt;9,(ABS(K31)+2),11)),K31))</f>
        <v>8</v>
      </c>
      <c r="AM31" s="6">
        <f aca="true" t="shared" si="19" ref="AM31:AM36">IF(M31="",0,IF(LEFT(M31,1)="-",ABS(M31),(IF(M31&gt;9,M31+2,11))))</f>
        <v>7</v>
      </c>
      <c r="AN31" s="7">
        <f aca="true" t="shared" si="20" ref="AN31:AN36">IF(M31="",0,IF(LEFT(M31,1)="-",(IF(ABS(M31)&gt;9,(ABS(M31)+2),11)),M31))</f>
        <v>11</v>
      </c>
      <c r="AO31" s="6">
        <f aca="true" t="shared" si="21" ref="AO31:AO36">IF(O31="",0,IF(LEFT(O31,1)="-",ABS(O31),(IF(O31&gt;9,O31+2,11))))</f>
        <v>11</v>
      </c>
      <c r="AP31" s="7">
        <f aca="true" t="shared" si="22" ref="AP31:AP36">IF(O31="",0,IF(LEFT(O31,1)="-",(IF(ABS(O31)&gt;9,(ABS(O31)+2),11)),O31))</f>
        <v>2</v>
      </c>
      <c r="AQ31" s="6">
        <f aca="true" t="shared" si="23" ref="AQ31:AQ36">IF(Q31="",0,IF(LEFT(Q31,1)="-",ABS(Q31),(IF(Q31&gt;9,Q31+2,11))))</f>
        <v>0</v>
      </c>
      <c r="AR31" s="7">
        <f>IF(Q31="",0,IF(LEFT(Q31,1)="-",(IF(ABS(Q31)&gt;9,(ABS(Q31)+2),11)),Q31))</f>
        <v>0</v>
      </c>
    </row>
    <row r="32" spans="3:44" ht="15">
      <c r="C32" s="53" t="s">
        <v>22</v>
      </c>
      <c r="D32" s="229"/>
      <c r="E32" s="82" t="str">
        <f>IF(E26&gt;0,E26,0)</f>
        <v>Alex Naumi</v>
      </c>
      <c r="F32" s="76" t="str">
        <f>IF(E28&gt;0,E28,0)</f>
        <v>Sami Ruohonen</v>
      </c>
      <c r="G32" s="8"/>
      <c r="H32" s="4"/>
      <c r="I32" s="472">
        <v>7</v>
      </c>
      <c r="J32" s="473"/>
      <c r="K32" s="472">
        <v>3</v>
      </c>
      <c r="L32" s="473"/>
      <c r="M32" s="472">
        <v>3</v>
      </c>
      <c r="N32" s="473"/>
      <c r="O32" s="472"/>
      <c r="P32" s="473"/>
      <c r="Q32" s="472"/>
      <c r="R32" s="476"/>
      <c r="S32" s="210">
        <f t="shared" si="12"/>
        <v>3</v>
      </c>
      <c r="T32" s="211">
        <f t="shared" si="13"/>
        <v>0</v>
      </c>
      <c r="U32" s="54">
        <f t="shared" si="14"/>
        <v>33</v>
      </c>
      <c r="V32" s="5">
        <f t="shared" si="14"/>
        <v>13</v>
      </c>
      <c r="W32" s="380"/>
      <c r="X32" s="397"/>
      <c r="Y32" s="397"/>
      <c r="Z32" s="361"/>
      <c r="AA32" s="361"/>
      <c r="AB32" s="361"/>
      <c r="AC32" s="361"/>
      <c r="AD32" s="361"/>
      <c r="AE32" s="327"/>
      <c r="AG32" s="253">
        <f>IF(AND(AG26=1,AG28=1),1,"")</f>
      </c>
      <c r="AI32" s="9">
        <f t="shared" si="15"/>
        <v>11</v>
      </c>
      <c r="AJ32" s="10">
        <f t="shared" si="16"/>
        <v>7</v>
      </c>
      <c r="AK32" s="9">
        <f t="shared" si="17"/>
        <v>11</v>
      </c>
      <c r="AL32" s="10">
        <f t="shared" si="18"/>
        <v>3</v>
      </c>
      <c r="AM32" s="9">
        <f t="shared" si="19"/>
        <v>11</v>
      </c>
      <c r="AN32" s="10">
        <f t="shared" si="20"/>
        <v>3</v>
      </c>
      <c r="AO32" s="9">
        <f t="shared" si="21"/>
        <v>0</v>
      </c>
      <c r="AP32" s="10">
        <f t="shared" si="22"/>
        <v>0</v>
      </c>
      <c r="AQ32" s="9">
        <f t="shared" si="23"/>
        <v>0</v>
      </c>
      <c r="AR32" s="10">
        <f>IF(Q32="",0,IF(LEFT(Q32,1)="-",(IF(ABS(Q32)&gt;9,(ABS(Q32)+2),11)),Q32))</f>
        <v>0</v>
      </c>
    </row>
    <row r="33" spans="3:44" ht="15">
      <c r="C33" s="53" t="s">
        <v>23</v>
      </c>
      <c r="D33" s="229"/>
      <c r="E33" s="83" t="str">
        <f>IF(E25&gt;0,E25,0)</f>
        <v>Mika Tuomola</v>
      </c>
      <c r="F33" s="77" t="str">
        <f>IF(E28&gt;0,E28,0)</f>
        <v>Sami Ruohonen</v>
      </c>
      <c r="G33" s="8"/>
      <c r="H33" s="65"/>
      <c r="I33" s="472">
        <v>-9</v>
      </c>
      <c r="J33" s="473"/>
      <c r="K33" s="472">
        <v>8</v>
      </c>
      <c r="L33" s="473"/>
      <c r="M33" s="472">
        <v>11</v>
      </c>
      <c r="N33" s="473"/>
      <c r="O33" s="472">
        <v>12</v>
      </c>
      <c r="P33" s="473"/>
      <c r="Q33" s="472"/>
      <c r="R33" s="476"/>
      <c r="S33" s="210">
        <f t="shared" si="12"/>
        <v>3</v>
      </c>
      <c r="T33" s="211">
        <f t="shared" si="13"/>
        <v>1</v>
      </c>
      <c r="U33" s="54">
        <f t="shared" si="14"/>
        <v>47</v>
      </c>
      <c r="V33" s="5">
        <f t="shared" si="14"/>
        <v>42</v>
      </c>
      <c r="W33" s="380"/>
      <c r="X33" s="397"/>
      <c r="Y33" s="397"/>
      <c r="Z33" s="361"/>
      <c r="AA33" s="361"/>
      <c r="AB33" s="361"/>
      <c r="AC33" s="361"/>
      <c r="AD33" s="361"/>
      <c r="AE33" s="327"/>
      <c r="AG33" s="253">
        <f>IF(AND(AG25=1,AG28=1),1,"")</f>
      </c>
      <c r="AI33" s="9">
        <f t="shared" si="15"/>
        <v>9</v>
      </c>
      <c r="AJ33" s="10">
        <f t="shared" si="16"/>
        <v>11</v>
      </c>
      <c r="AK33" s="9">
        <f t="shared" si="17"/>
        <v>11</v>
      </c>
      <c r="AL33" s="10">
        <f t="shared" si="18"/>
        <v>8</v>
      </c>
      <c r="AM33" s="9">
        <f t="shared" si="19"/>
        <v>13</v>
      </c>
      <c r="AN33" s="10">
        <f t="shared" si="20"/>
        <v>11</v>
      </c>
      <c r="AO33" s="9">
        <f t="shared" si="21"/>
        <v>14</v>
      </c>
      <c r="AP33" s="10">
        <f t="shared" si="22"/>
        <v>12</v>
      </c>
      <c r="AQ33" s="9">
        <f t="shared" si="23"/>
        <v>0</v>
      </c>
      <c r="AR33" s="10">
        <f>IF(Q33="",0,IF(LEFT(Q33,1)="-",(IF(ABS(Q33)&gt;9,(ABS(Q33)+2),11)),Q33))</f>
        <v>0</v>
      </c>
    </row>
    <row r="34" spans="3:44" ht="15">
      <c r="C34" s="53" t="s">
        <v>24</v>
      </c>
      <c r="D34" s="229"/>
      <c r="E34" s="82" t="str">
        <f>IF(E26&gt;0,E26,0)</f>
        <v>Alex Naumi</v>
      </c>
      <c r="F34" s="76" t="str">
        <f>IF(E27&gt;0,E27,0)</f>
        <v>Mika Rauvola</v>
      </c>
      <c r="G34" s="3"/>
      <c r="H34" s="4"/>
      <c r="I34" s="477">
        <v>-8</v>
      </c>
      <c r="J34" s="479"/>
      <c r="K34" s="477">
        <v>-10</v>
      </c>
      <c r="L34" s="479"/>
      <c r="M34" s="477">
        <v>6</v>
      </c>
      <c r="N34" s="479"/>
      <c r="O34" s="477">
        <v>10</v>
      </c>
      <c r="P34" s="479"/>
      <c r="Q34" s="477">
        <v>9</v>
      </c>
      <c r="R34" s="478"/>
      <c r="S34" s="210">
        <f t="shared" si="12"/>
        <v>3</v>
      </c>
      <c r="T34" s="211">
        <f t="shared" si="13"/>
        <v>2</v>
      </c>
      <c r="U34" s="54">
        <f t="shared" si="14"/>
        <v>52</v>
      </c>
      <c r="V34" s="5">
        <f t="shared" si="14"/>
        <v>48</v>
      </c>
      <c r="W34" s="380"/>
      <c r="X34" s="397"/>
      <c r="Y34" s="397"/>
      <c r="Z34" s="361"/>
      <c r="AA34" s="361"/>
      <c r="AB34" s="361"/>
      <c r="AC34" s="361"/>
      <c r="AD34" s="361"/>
      <c r="AE34" s="327"/>
      <c r="AG34" s="253">
        <f>IF(AND(AG26=1,AG27=1),1,"")</f>
      </c>
      <c r="AI34" s="9">
        <f t="shared" si="15"/>
        <v>8</v>
      </c>
      <c r="AJ34" s="10">
        <f t="shared" si="16"/>
        <v>11</v>
      </c>
      <c r="AK34" s="9">
        <f t="shared" si="17"/>
        <v>10</v>
      </c>
      <c r="AL34" s="10">
        <f t="shared" si="18"/>
        <v>12</v>
      </c>
      <c r="AM34" s="9">
        <f t="shared" si="19"/>
        <v>11</v>
      </c>
      <c r="AN34" s="10">
        <f t="shared" si="20"/>
        <v>6</v>
      </c>
      <c r="AO34" s="9">
        <f t="shared" si="21"/>
        <v>12</v>
      </c>
      <c r="AP34" s="10">
        <f t="shared" si="22"/>
        <v>10</v>
      </c>
      <c r="AQ34" s="9">
        <f t="shared" si="23"/>
        <v>11</v>
      </c>
      <c r="AR34" s="10">
        <f>IF(Q34="",0,IF(LEFT(Q34,1)="-",(IF(ABS(Q34)&gt;9,(ABS(Q34)+2),11)),Q34))</f>
        <v>9</v>
      </c>
    </row>
    <row r="35" spans="3:44" ht="15">
      <c r="C35" s="53" t="s">
        <v>25</v>
      </c>
      <c r="D35" s="229"/>
      <c r="E35" s="82" t="str">
        <f>IF(E25&gt;0,E25,0)</f>
        <v>Mika Tuomola</v>
      </c>
      <c r="F35" s="76" t="str">
        <f>IF(E26&gt;0,E26,0)</f>
        <v>Alex Naumi</v>
      </c>
      <c r="G35" s="8"/>
      <c r="H35" s="4"/>
      <c r="I35" s="472">
        <v>11</v>
      </c>
      <c r="J35" s="473"/>
      <c r="K35" s="472">
        <v>-6</v>
      </c>
      <c r="L35" s="473"/>
      <c r="M35" s="474">
        <v>6</v>
      </c>
      <c r="N35" s="473"/>
      <c r="O35" s="472">
        <v>-2</v>
      </c>
      <c r="P35" s="473"/>
      <c r="Q35" s="472">
        <v>-6</v>
      </c>
      <c r="R35" s="476"/>
      <c r="S35" s="210">
        <f t="shared" si="12"/>
        <v>2</v>
      </c>
      <c r="T35" s="211">
        <f t="shared" si="13"/>
        <v>3</v>
      </c>
      <c r="U35" s="54">
        <f t="shared" si="14"/>
        <v>38</v>
      </c>
      <c r="V35" s="5">
        <f t="shared" si="14"/>
        <v>50</v>
      </c>
      <c r="W35" s="380"/>
      <c r="X35" s="397"/>
      <c r="Y35" s="397"/>
      <c r="Z35" s="361"/>
      <c r="AA35" s="361"/>
      <c r="AB35" s="361"/>
      <c r="AC35" s="361"/>
      <c r="AD35" s="361"/>
      <c r="AE35" s="327"/>
      <c r="AG35" s="253">
        <f>IF(AND(AG25=1,AG26=1),1,"")</f>
      </c>
      <c r="AI35" s="9">
        <f t="shared" si="15"/>
        <v>13</v>
      </c>
      <c r="AJ35" s="10">
        <f t="shared" si="16"/>
        <v>11</v>
      </c>
      <c r="AK35" s="9">
        <f t="shared" si="17"/>
        <v>6</v>
      </c>
      <c r="AL35" s="10">
        <f t="shared" si="18"/>
        <v>11</v>
      </c>
      <c r="AM35" s="9">
        <f t="shared" si="19"/>
        <v>11</v>
      </c>
      <c r="AN35" s="10">
        <f t="shared" si="20"/>
        <v>6</v>
      </c>
      <c r="AO35" s="9">
        <f t="shared" si="21"/>
        <v>2</v>
      </c>
      <c r="AP35" s="10">
        <f t="shared" si="22"/>
        <v>11</v>
      </c>
      <c r="AQ35" s="9">
        <f t="shared" si="23"/>
        <v>6</v>
      </c>
      <c r="AR35" s="10">
        <f>IF(Q35="",0,IF(LEFT(Q35,1)="-",(IF(ABS(Q35)&gt;9,(ABS(Q35)+2),11)),Q35))</f>
        <v>11</v>
      </c>
    </row>
    <row r="36" spans="3:44" ht="15.75" thickBot="1">
      <c r="C36" s="56" t="s">
        <v>26</v>
      </c>
      <c r="D36" s="230"/>
      <c r="E36" s="84" t="str">
        <f>IF(E27&gt;0,E27,0)</f>
        <v>Mika Rauvola</v>
      </c>
      <c r="F36" s="78" t="str">
        <f>IF(E28&gt;0,E28,0)</f>
        <v>Sami Ruohonen</v>
      </c>
      <c r="G36" s="1"/>
      <c r="H36" s="28"/>
      <c r="I36" s="470">
        <v>9</v>
      </c>
      <c r="J36" s="475"/>
      <c r="K36" s="470">
        <v>-7</v>
      </c>
      <c r="L36" s="475"/>
      <c r="M36" s="470">
        <v>7</v>
      </c>
      <c r="N36" s="475"/>
      <c r="O36" s="470">
        <v>7</v>
      </c>
      <c r="P36" s="475"/>
      <c r="Q36" s="470"/>
      <c r="R36" s="471"/>
      <c r="S36" s="212">
        <f t="shared" si="12"/>
        <v>3</v>
      </c>
      <c r="T36" s="213">
        <f t="shared" si="13"/>
        <v>1</v>
      </c>
      <c r="U36" s="388">
        <f t="shared" si="14"/>
        <v>40</v>
      </c>
      <c r="V36" s="388">
        <f t="shared" si="14"/>
        <v>34</v>
      </c>
      <c r="W36" s="380"/>
      <c r="X36" s="397"/>
      <c r="Y36" s="397"/>
      <c r="Z36" s="361"/>
      <c r="AA36" s="361"/>
      <c r="AB36" s="361"/>
      <c r="AC36" s="361"/>
      <c r="AD36" s="361"/>
      <c r="AE36" s="327"/>
      <c r="AG36" s="253">
        <f>IF(AND(AG27=1,AG28=1),1,"")</f>
      </c>
      <c r="AI36" s="11">
        <f t="shared" si="15"/>
        <v>11</v>
      </c>
      <c r="AJ36" s="12">
        <f t="shared" si="16"/>
        <v>9</v>
      </c>
      <c r="AK36" s="11">
        <f t="shared" si="17"/>
        <v>7</v>
      </c>
      <c r="AL36" s="12">
        <f t="shared" si="18"/>
        <v>11</v>
      </c>
      <c r="AM36" s="11">
        <f t="shared" si="19"/>
        <v>11</v>
      </c>
      <c r="AN36" s="12">
        <f t="shared" si="20"/>
        <v>7</v>
      </c>
      <c r="AO36" s="11">
        <f t="shared" si="21"/>
        <v>11</v>
      </c>
      <c r="AP36" s="12">
        <f t="shared" si="22"/>
        <v>7</v>
      </c>
      <c r="AQ36" s="11">
        <f t="shared" si="23"/>
        <v>0</v>
      </c>
      <c r="AR36" s="12">
        <f>IF(Q36=0,0,IF(LEFT(Q36,1)="-",(IF(ABS(Q36)&gt;9,(ABS(Q36)+2),11)),Q36))</f>
        <v>0</v>
      </c>
    </row>
    <row r="37" spans="24:31" ht="15">
      <c r="X37" s="362"/>
      <c r="Y37" s="362"/>
      <c r="Z37" s="362"/>
      <c r="AA37" s="362"/>
      <c r="AB37" s="362"/>
      <c r="AC37" s="362"/>
      <c r="AD37" s="362"/>
      <c r="AE37" s="327"/>
    </row>
    <row r="38" spans="24:31" ht="15.75" thickBot="1">
      <c r="X38" s="362"/>
      <c r="Y38" s="362"/>
      <c r="Z38" s="362"/>
      <c r="AA38" s="362"/>
      <c r="AB38" s="362"/>
      <c r="AC38" s="362"/>
      <c r="AD38" s="362"/>
      <c r="AE38" s="327"/>
    </row>
    <row r="39" spans="3:31" ht="15.75">
      <c r="C39" s="87"/>
      <c r="D39" s="226"/>
      <c r="E39" s="195" t="str">
        <f>$E$5</f>
        <v>TOP-12 1-karsinta</v>
      </c>
      <c r="F39" s="35"/>
      <c r="G39" s="35"/>
      <c r="H39" s="35"/>
      <c r="I39" s="36"/>
      <c r="J39" s="35"/>
      <c r="K39" s="37"/>
      <c r="L39" s="37"/>
      <c r="M39" s="495"/>
      <c r="N39" s="496"/>
      <c r="O39" s="496"/>
      <c r="P39" s="497"/>
      <c r="Q39" s="39" t="s">
        <v>0</v>
      </c>
      <c r="R39" s="40"/>
      <c r="S39" s="498" t="s">
        <v>42</v>
      </c>
      <c r="T39" s="499"/>
      <c r="U39" s="499"/>
      <c r="V39" s="500"/>
      <c r="X39" s="362"/>
      <c r="Y39" s="362"/>
      <c r="Z39" s="362"/>
      <c r="AA39" s="362"/>
      <c r="AB39" s="362"/>
      <c r="AC39" s="362"/>
      <c r="AD39" s="362"/>
      <c r="AE39" s="327"/>
    </row>
    <row r="40" spans="3:47" ht="16.5" thickBot="1">
      <c r="C40" s="88"/>
      <c r="D40" s="231"/>
      <c r="E40" s="196" t="str">
        <f>$E$6</f>
        <v>SPTL</v>
      </c>
      <c r="F40" s="100" t="s">
        <v>1</v>
      </c>
      <c r="G40" s="501">
        <v>4.8</v>
      </c>
      <c r="H40" s="502"/>
      <c r="I40" s="503"/>
      <c r="J40" s="504" t="s">
        <v>2</v>
      </c>
      <c r="K40" s="505"/>
      <c r="L40" s="505"/>
      <c r="M40" s="451">
        <f>$M$6</f>
        <v>42280</v>
      </c>
      <c r="N40" s="451"/>
      <c r="O40" s="451"/>
      <c r="P40" s="452"/>
      <c r="Q40" s="101" t="s">
        <v>3</v>
      </c>
      <c r="R40" s="102"/>
      <c r="S40" s="506" t="str">
        <f>$S$6</f>
        <v>11:00</v>
      </c>
      <c r="T40" s="507"/>
      <c r="U40" s="507"/>
      <c r="V40" s="508"/>
      <c r="X40" s="362"/>
      <c r="Y40" s="362"/>
      <c r="Z40" s="362"/>
      <c r="AA40" s="362"/>
      <c r="AB40" s="362"/>
      <c r="AC40" s="362"/>
      <c r="AD40" s="362"/>
      <c r="AE40" s="327"/>
      <c r="AU40" t="s">
        <v>20</v>
      </c>
    </row>
    <row r="41" spans="3:73" ht="15.75" thickBot="1">
      <c r="C41" s="43"/>
      <c r="D41" s="239" t="s">
        <v>68</v>
      </c>
      <c r="E41" s="317" t="s">
        <v>4</v>
      </c>
      <c r="F41" s="175" t="s">
        <v>5</v>
      </c>
      <c r="G41" s="446" t="s">
        <v>6</v>
      </c>
      <c r="H41" s="491"/>
      <c r="I41" s="492" t="s">
        <v>7</v>
      </c>
      <c r="J41" s="493"/>
      <c r="K41" s="494" t="s">
        <v>8</v>
      </c>
      <c r="L41" s="491"/>
      <c r="M41" s="492" t="s">
        <v>9</v>
      </c>
      <c r="N41" s="493"/>
      <c r="O41" s="461"/>
      <c r="P41" s="454"/>
      <c r="Q41" s="44" t="s">
        <v>10</v>
      </c>
      <c r="R41" s="45" t="s">
        <v>11</v>
      </c>
      <c r="S41" s="446" t="s">
        <v>69</v>
      </c>
      <c r="T41" s="441"/>
      <c r="U41" s="480" t="s">
        <v>12</v>
      </c>
      <c r="V41" s="454"/>
      <c r="Y41" s="330" t="s">
        <v>74</v>
      </c>
      <c r="Z41" s="300"/>
      <c r="AA41" s="300"/>
      <c r="AB41" s="324"/>
      <c r="AC41" s="337" t="s">
        <v>73</v>
      </c>
      <c r="AD41" s="362"/>
      <c r="AE41" s="327"/>
      <c r="AG41" s="197" t="s">
        <v>65</v>
      </c>
      <c r="AI41" s="330" t="s">
        <v>74</v>
      </c>
      <c r="AJ41" s="300"/>
      <c r="AK41" s="300"/>
      <c r="AL41" s="324"/>
      <c r="AM41" s="337" t="s">
        <v>73</v>
      </c>
      <c r="AU41" s="533" t="s">
        <v>6</v>
      </c>
      <c r="AV41" s="532"/>
      <c r="AW41" s="534" t="s">
        <v>7</v>
      </c>
      <c r="AX41" s="535"/>
      <c r="AY41" s="531" t="s">
        <v>8</v>
      </c>
      <c r="AZ41" s="532"/>
      <c r="BA41" s="403" t="s">
        <v>9</v>
      </c>
      <c r="BB41" s="404"/>
      <c r="BC41" s="267" t="s">
        <v>66</v>
      </c>
      <c r="BD41" s="268"/>
      <c r="BE41" s="277" t="s">
        <v>71</v>
      </c>
      <c r="BK41" s="343" t="s">
        <v>72</v>
      </c>
      <c r="BL41" s="344"/>
      <c r="BM41" s="344"/>
      <c r="BN41" s="345"/>
      <c r="BO41" s="345"/>
      <c r="BP41" s="345"/>
      <c r="BQ41" s="345"/>
      <c r="BR41" s="345"/>
      <c r="BS41" s="346" t="s">
        <v>76</v>
      </c>
      <c r="BT41" s="347"/>
      <c r="BU41" s="352" t="s">
        <v>71</v>
      </c>
    </row>
    <row r="42" spans="2:73" ht="15.75">
      <c r="B42" s="33">
        <f>U42</f>
        <v>1</v>
      </c>
      <c r="C42" s="46" t="s">
        <v>6</v>
      </c>
      <c r="D42" s="240">
        <v>2262</v>
      </c>
      <c r="E42" s="79" t="s">
        <v>100</v>
      </c>
      <c r="F42" s="192" t="s">
        <v>89</v>
      </c>
      <c r="G42" s="57"/>
      <c r="H42" s="69"/>
      <c r="I42" s="141">
        <f>+S52</f>
        <v>3</v>
      </c>
      <c r="J42" s="142">
        <f>+T52</f>
        <v>2</v>
      </c>
      <c r="K42" s="143">
        <f>S48</f>
        <v>3</v>
      </c>
      <c r="L42" s="143">
        <f>T48</f>
        <v>1</v>
      </c>
      <c r="M42" s="141">
        <f>S50</f>
        <v>3</v>
      </c>
      <c r="N42" s="142">
        <f>T50</f>
        <v>1</v>
      </c>
      <c r="O42" s="143"/>
      <c r="P42" s="58"/>
      <c r="Q42" s="198">
        <f>IF(SUM(G42:P42)=0,0,COUNTIF(H42:H45,"3"))</f>
        <v>3</v>
      </c>
      <c r="R42" s="199">
        <f>IF(SUM(H42:Q42)=0,0,COUNTIF(G42:G45,"3"))</f>
        <v>0</v>
      </c>
      <c r="S42" s="407">
        <f>+AC42</f>
        <v>6</v>
      </c>
      <c r="T42" s="408"/>
      <c r="U42" s="481">
        <v>1</v>
      </c>
      <c r="V42" s="482"/>
      <c r="Y42" s="331"/>
      <c r="Z42" s="250">
        <f>IF($S52=3,2,IF($W52=1,0,1))</f>
        <v>2</v>
      </c>
      <c r="AA42" s="250">
        <f>IF($S48=3,2,IF($W48=1,0,1))</f>
        <v>2</v>
      </c>
      <c r="AB42" s="250">
        <f>IF($S50=3,2,IF($W50=1,0,1))</f>
        <v>2</v>
      </c>
      <c r="AC42" s="332">
        <f>SUM(Y42:AB42)</f>
        <v>6</v>
      </c>
      <c r="AD42" s="362"/>
      <c r="AE42" s="327"/>
      <c r="AG42" s="380"/>
      <c r="AH42" s="246"/>
      <c r="AI42" s="331"/>
      <c r="AJ42" s="250">
        <f>IF($AG52=1,IF($S52=3,2,IF($W52=1,0,1)),"")</f>
      </c>
      <c r="AK42" s="250">
        <f>IF($AG48=1,IF($S48=3,2,IF($W48=1,0,1)),"")</f>
      </c>
      <c r="AL42" s="250">
        <f>IF($AG50=1,IF($S50=3,2,IF($W50=1,0,1)),"")</f>
      </c>
      <c r="AM42" s="332">
        <f>SUM(AI42:AL42)</f>
        <v>0</v>
      </c>
      <c r="AU42" s="269"/>
      <c r="AV42" s="249"/>
      <c r="AW42" s="250">
        <f>IF($AG52=1,S52,"")</f>
      </c>
      <c r="AX42" s="250">
        <f>IF($AG52=1,T52,"")</f>
      </c>
      <c r="AY42" s="250">
        <f>IF($AG48=1,S48,"")</f>
      </c>
      <c r="AZ42" s="250">
        <f>IF($AG48=1,T48,"")</f>
      </c>
      <c r="BA42" s="250">
        <f>IF($AG50=1,S50,"")</f>
      </c>
      <c r="BB42" s="251">
        <f>IF($AG50=1,T50,"")</f>
      </c>
      <c r="BC42" s="254">
        <f>IF(SUM(AU42:BB42)=0,"",SUM(AV42:AV45))</f>
      </c>
      <c r="BD42" s="254">
        <f>IF(SUM(AU42:BB42)=0,"",SUM(AU42:AU45))</f>
      </c>
      <c r="BE42" s="326">
        <f>IF(AG42=1,IF(BC42=0,0,IF(BD42=0,BC42,BC42/BD42)),"")</f>
      </c>
      <c r="BK42" s="291"/>
      <c r="BL42" s="292"/>
      <c r="BM42" s="295">
        <f>IF($AG52=1,U52,0)</f>
        <v>0</v>
      </c>
      <c r="BN42" s="296">
        <f>IF($AG52=1,V52,0)</f>
        <v>0</v>
      </c>
      <c r="BO42" s="295">
        <f>IF($AG48=1,U48,0)</f>
        <v>0</v>
      </c>
      <c r="BP42" s="296">
        <f>IF($AG48=1,V48,0)</f>
        <v>0</v>
      </c>
      <c r="BQ42" s="295">
        <f>IF($AG50=1,U50,0)</f>
        <v>0</v>
      </c>
      <c r="BR42" s="297">
        <f>IF($AG50=1,V50,0)</f>
        <v>0</v>
      </c>
      <c r="BS42" s="309">
        <f>+BM42+BO42+BQ42</f>
        <v>0</v>
      </c>
      <c r="BT42" s="296">
        <f>+BN42+BP42+BR42</f>
        <v>0</v>
      </c>
      <c r="BU42" s="355">
        <f>IF(AG42=1,IF(BS42=0,0,IF(BT42=0,BS42,BS42/BT42)),"")</f>
      </c>
    </row>
    <row r="43" spans="2:73" ht="15.75">
      <c r="B43" s="33">
        <f>U43</f>
        <v>2</v>
      </c>
      <c r="C43" s="47" t="s">
        <v>7</v>
      </c>
      <c r="D43" s="240">
        <v>2235</v>
      </c>
      <c r="E43" s="79" t="s">
        <v>101</v>
      </c>
      <c r="F43" s="192" t="s">
        <v>91</v>
      </c>
      <c r="G43" s="59">
        <f>+T52</f>
        <v>2</v>
      </c>
      <c r="H43" s="144">
        <f>+S52</f>
        <v>3</v>
      </c>
      <c r="I43" s="145"/>
      <c r="J43" s="146"/>
      <c r="K43" s="144">
        <f>S51</f>
        <v>3</v>
      </c>
      <c r="L43" s="144">
        <f>T51</f>
        <v>2</v>
      </c>
      <c r="M43" s="147">
        <f>S49</f>
        <v>3</v>
      </c>
      <c r="N43" s="148">
        <f>T49</f>
        <v>1</v>
      </c>
      <c r="O43" s="144"/>
      <c r="P43" s="60"/>
      <c r="Q43" s="198">
        <f>IF(SUM(G43:P43)=0,0,COUNTIF(J42:J45,"3"))</f>
        <v>2</v>
      </c>
      <c r="R43" s="199">
        <f>IF(SUM(H43:Q43)=0,0,COUNTIF(I42:I45,"3"))</f>
        <v>1</v>
      </c>
      <c r="S43" s="407">
        <f>+AC43</f>
        <v>5</v>
      </c>
      <c r="T43" s="408"/>
      <c r="U43" s="481">
        <v>2</v>
      </c>
      <c r="V43" s="482"/>
      <c r="Y43" s="250">
        <f>IF($T52=3,2,IF($W52=1,0,1))</f>
        <v>1</v>
      </c>
      <c r="Z43" s="331"/>
      <c r="AA43" s="250">
        <f>IF($S51=3,2,IF($W51=1,0,1))</f>
        <v>2</v>
      </c>
      <c r="AB43" s="250">
        <f>IF($S49=3,2,IF($W49=1,0,1))</f>
        <v>2</v>
      </c>
      <c r="AC43" s="332">
        <f>SUM(Y43:AB43)</f>
        <v>5</v>
      </c>
      <c r="AD43" s="362"/>
      <c r="AE43" s="327"/>
      <c r="AG43" s="380"/>
      <c r="AH43" s="246"/>
      <c r="AI43" s="250">
        <f>IF($AG52=1,IF($T52=3,2,IF($W52=1,0,1)),"")</f>
      </c>
      <c r="AJ43" s="331"/>
      <c r="AK43" s="250">
        <f>IF($AG51=1,IF($S51=3,2,IF($W51=1,0,1)),"")</f>
      </c>
      <c r="AL43" s="250">
        <f>IF($AG49=1,IF($S49=3,2,IF($W49=1,0,1)),"")</f>
      </c>
      <c r="AM43" s="332">
        <f>SUM(AI43:AL43)</f>
        <v>0</v>
      </c>
      <c r="AU43" s="270">
        <f>IF($AG52=1,T52,"")</f>
      </c>
      <c r="AV43" s="250">
        <f>IF($AG52=1,S52,"")</f>
      </c>
      <c r="AW43" s="248"/>
      <c r="AX43" s="249"/>
      <c r="AY43" s="250">
        <f>IF($AG51=1,S51,"")</f>
      </c>
      <c r="AZ43" s="250">
        <f>IF($AG51=1,T51,"")</f>
      </c>
      <c r="BA43" s="250">
        <f>IF($AG49=1,S49,"")</f>
      </c>
      <c r="BB43" s="251">
        <f>IF($AG49=1,T49,"")</f>
      </c>
      <c r="BC43" s="254">
        <f>IF(SUM(AU43:BB43)=0,"",SUM(AX42:AX45))</f>
      </c>
      <c r="BD43" s="255">
        <f>IF(SUM(AU43:BB43)=0,"",SUM(AW42:AW45))</f>
      </c>
      <c r="BE43" s="326">
        <f>IF(AG43=1,IF(BC43=0,0,IF(BD43=0,BC43,BC43/BD43)),"")</f>
      </c>
      <c r="BK43" s="270">
        <f>IF($AG52=1,V52,0)</f>
        <v>0</v>
      </c>
      <c r="BL43" s="287">
        <f>IF($AG52=1,U52,0)</f>
        <v>0</v>
      </c>
      <c r="BM43" s="289"/>
      <c r="BN43" s="290"/>
      <c r="BO43" s="270">
        <f>IF($AG51=1,U51,0)</f>
        <v>0</v>
      </c>
      <c r="BP43" s="287">
        <f>IF($AG51=1,V51,0)</f>
        <v>0</v>
      </c>
      <c r="BQ43" s="270">
        <f>IF($AG49=1,U49,0)</f>
        <v>0</v>
      </c>
      <c r="BR43" s="251">
        <f>IF($AG49=1,V49,0)</f>
        <v>0</v>
      </c>
      <c r="BS43" s="309">
        <f>+BK43+BO43+BQ43</f>
        <v>0</v>
      </c>
      <c r="BT43" s="342">
        <f>+BL43+BN43+BP43+BR43</f>
        <v>0</v>
      </c>
      <c r="BU43" s="353">
        <f>IF(AG43=1,IF(BS43=0,0,IF(BT43=0,BS43,BS43/BT43)),"")</f>
      </c>
    </row>
    <row r="44" spans="2:73" ht="15.75">
      <c r="B44" s="33">
        <f>U44</f>
        <v>3</v>
      </c>
      <c r="C44" s="47" t="s">
        <v>8</v>
      </c>
      <c r="D44" s="389">
        <v>2096</v>
      </c>
      <c r="E44" s="390" t="s">
        <v>102</v>
      </c>
      <c r="F44" s="193" t="s">
        <v>89</v>
      </c>
      <c r="G44" s="59">
        <f>+T48</f>
        <v>1</v>
      </c>
      <c r="H44" s="144">
        <f>+S48</f>
        <v>3</v>
      </c>
      <c r="I44" s="147">
        <f>T51</f>
        <v>2</v>
      </c>
      <c r="J44" s="148">
        <f>S51</f>
        <v>3</v>
      </c>
      <c r="K44" s="149"/>
      <c r="L44" s="149"/>
      <c r="M44" s="147">
        <f>S53</f>
        <v>3</v>
      </c>
      <c r="N44" s="148">
        <f>T53</f>
        <v>2</v>
      </c>
      <c r="O44" s="144"/>
      <c r="P44" s="60"/>
      <c r="Q44" s="198">
        <f>IF(SUM(G44:P44)=0,0,COUNTIF(L42:L45,"3"))</f>
        <v>1</v>
      </c>
      <c r="R44" s="199">
        <f>IF(SUM(H44:Q44)=0,0,COUNTIF(K42:K45,"3"))</f>
        <v>2</v>
      </c>
      <c r="S44" s="407">
        <f>+AC44</f>
        <v>4</v>
      </c>
      <c r="T44" s="408"/>
      <c r="U44" s="481">
        <v>3</v>
      </c>
      <c r="V44" s="482"/>
      <c r="Y44" s="250">
        <f>IF($T48=3,2,IF($W48=1,0,1))</f>
        <v>1</v>
      </c>
      <c r="Z44" s="250">
        <f>IF($T51=3,2,IF($W51=1,0,1))</f>
        <v>1</v>
      </c>
      <c r="AA44" s="331"/>
      <c r="AB44" s="250">
        <f>IF($S53=3,2,IF($W53=1,0,1))</f>
        <v>2</v>
      </c>
      <c r="AC44" s="332">
        <f>SUM(Y44:AB44)</f>
        <v>4</v>
      </c>
      <c r="AD44" s="362"/>
      <c r="AE44" s="327"/>
      <c r="AG44" s="380"/>
      <c r="AH44" s="246"/>
      <c r="AI44" s="250">
        <f>IF($AG48=1,IF($T48=3,2,IF($W48=1,0,1)),"")</f>
      </c>
      <c r="AJ44" s="250">
        <f>IF($AG51=1,IF($T51=3,2,IF($W51=1,0,1)),"")</f>
      </c>
      <c r="AK44" s="331"/>
      <c r="AL44" s="250">
        <f>IF($AG53=1,IF($S53=3,2,IF($W53=1,0,1)),"")</f>
      </c>
      <c r="AM44" s="332">
        <f>SUM(AI44:AL44)</f>
        <v>0</v>
      </c>
      <c r="AU44" s="270">
        <f>IF($AG48=1,T48,"")</f>
      </c>
      <c r="AV44" s="250">
        <f>IF($AG48=1,S48,"")</f>
      </c>
      <c r="AW44" s="250">
        <f>IF($AG51=1,T51,"")</f>
      </c>
      <c r="AX44" s="250">
        <f>IF($AG51=1,S51,"")</f>
      </c>
      <c r="AY44" s="248"/>
      <c r="AZ44" s="249"/>
      <c r="BA44" s="250">
        <f>IF($AG53=1,S53,"")</f>
      </c>
      <c r="BB44" s="251">
        <f>IF($AG53=1,T53,"")</f>
      </c>
      <c r="BC44" s="254">
        <f>IF(SUM(AU44:BB44)=0,"",SUM(AZ42:AZ45))</f>
      </c>
      <c r="BD44" s="256">
        <f>IF(SUM(AU44:BB44)=0,"",SUM(AY42:AY45))</f>
      </c>
      <c r="BE44" s="326">
        <f>IF(AG44=1,IF(BC44=0,0,IF(BD44=0,BC44,BC44/BD44)),"")</f>
      </c>
      <c r="BK44" s="270">
        <f>IF($AG48=1,V48,0)</f>
        <v>0</v>
      </c>
      <c r="BL44" s="287">
        <f>IF($AG48=1,U48,0)</f>
        <v>0</v>
      </c>
      <c r="BM44" s="270">
        <f>IF($AG51=1,V51,0)</f>
        <v>0</v>
      </c>
      <c r="BN44" s="287">
        <f>IF($AG51=1,U51,0)</f>
        <v>0</v>
      </c>
      <c r="BO44" s="291"/>
      <c r="BP44" s="292"/>
      <c r="BQ44" s="270">
        <f>IF($AG53=1,U53,0)</f>
        <v>0</v>
      </c>
      <c r="BR44" s="251">
        <f>IF($AG53=1,V53,0)</f>
        <v>0</v>
      </c>
      <c r="BS44" s="309">
        <f>+BK44+BM44+BQ44</f>
        <v>0</v>
      </c>
      <c r="BT44" s="342">
        <f>+BL44+BN44+BP44+BR44</f>
        <v>0</v>
      </c>
      <c r="BU44" s="353">
        <f>IF(AG44=1,IF(BS44=0,0,IF(BT44=0,BS44,BS44/BT44)),"")</f>
      </c>
    </row>
    <row r="45" spans="2:73" ht="16.5" thickBot="1">
      <c r="B45" s="33">
        <f>U45</f>
        <v>4</v>
      </c>
      <c r="C45" s="48" t="s">
        <v>9</v>
      </c>
      <c r="D45" s="391">
        <v>2093</v>
      </c>
      <c r="E45" s="392" t="s">
        <v>103</v>
      </c>
      <c r="F45" s="245" t="s">
        <v>104</v>
      </c>
      <c r="G45" s="61">
        <f>T50</f>
        <v>1</v>
      </c>
      <c r="H45" s="150">
        <f>S50</f>
        <v>3</v>
      </c>
      <c r="I45" s="151">
        <f>T49</f>
        <v>1</v>
      </c>
      <c r="J45" s="152">
        <f>S49</f>
        <v>3</v>
      </c>
      <c r="K45" s="150">
        <f>T53</f>
        <v>2</v>
      </c>
      <c r="L45" s="150">
        <f>S53</f>
        <v>3</v>
      </c>
      <c r="M45" s="153"/>
      <c r="N45" s="154"/>
      <c r="O45" s="150"/>
      <c r="P45" s="62"/>
      <c r="Q45" s="200">
        <f>IF(SUM(G45:P45)=0,0,COUNTIF(N42:N45,"3"))</f>
        <v>0</v>
      </c>
      <c r="R45" s="201">
        <f>IF(SUM(H45:Q45)=0,0,COUNTIF(M42:M45,"3"))</f>
        <v>3</v>
      </c>
      <c r="S45" s="407">
        <f>+AC45</f>
        <v>3</v>
      </c>
      <c r="T45" s="408"/>
      <c r="U45" s="487">
        <v>4</v>
      </c>
      <c r="V45" s="488"/>
      <c r="Y45" s="250">
        <f>IF($T50=3,2,IF($W50=1,0,1))</f>
        <v>1</v>
      </c>
      <c r="Z45" s="250">
        <f>IF($T49=3,2,IF($W49=1,0,1))</f>
        <v>1</v>
      </c>
      <c r="AA45" s="250">
        <f>IF($T53=3,2,IF($W53=1,0,1))</f>
        <v>1</v>
      </c>
      <c r="AB45" s="331"/>
      <c r="AC45" s="332">
        <f>SUM(Y45:AB45)</f>
        <v>3</v>
      </c>
      <c r="AD45" s="362"/>
      <c r="AE45" s="327"/>
      <c r="AG45" s="380"/>
      <c r="AH45" s="246"/>
      <c r="AI45" s="250">
        <f>IF($AG50=1,IF($T50=3,2,IF($W50=1,0,1)),"")</f>
      </c>
      <c r="AJ45" s="250">
        <f>IF($AG49=1,IF($T49=3,2,IF($W49=1,0,1)),"")</f>
      </c>
      <c r="AK45" s="250">
        <f>IF($AG53=1,IF($T53=3,2,IF($W53=1,0,1)),"")</f>
      </c>
      <c r="AL45" s="331"/>
      <c r="AM45" s="332">
        <f>SUM(AI45:AL45)</f>
        <v>0</v>
      </c>
      <c r="AU45" s="271">
        <f>IF($AG50=1,T50,"")</f>
      </c>
      <c r="AV45" s="272">
        <f>IF($AG50=1,S50,"")</f>
      </c>
      <c r="AW45" s="272">
        <f>IF($AG49=1,T49,"")</f>
      </c>
      <c r="AX45" s="272">
        <f>IF($AG49=1,S49,"")</f>
      </c>
      <c r="AY45" s="272">
        <f>IF($AG53=1,T53,"")</f>
      </c>
      <c r="AZ45" s="272">
        <f>IF($AG53=1,S53,"")</f>
      </c>
      <c r="BA45" s="273"/>
      <c r="BB45" s="274"/>
      <c r="BC45" s="275">
        <f>IF(SUM(AU45:BB45)=0,"",SUM(BB43:BB47))</f>
      </c>
      <c r="BD45" s="276">
        <f>IF(SUM(AU45:BB45)=0,"",SUM(BA43:BA47))</f>
      </c>
      <c r="BE45" s="326">
        <f>IF(AG45=1,IF(BC45=0,0,IF(BD45=0,BC45,BC45/BD45)),"")</f>
      </c>
      <c r="BK45" s="271">
        <f>IF($AG50=1,V50,0)</f>
        <v>0</v>
      </c>
      <c r="BL45" s="288">
        <f>IF($AG50=1,U50,0)</f>
        <v>0</v>
      </c>
      <c r="BM45" s="271">
        <f>IF($AG49=1,V49,0)</f>
        <v>0</v>
      </c>
      <c r="BN45" s="288">
        <f>IF($AG49=1,U49,0)</f>
        <v>0</v>
      </c>
      <c r="BO45" s="271">
        <f>IF($AG53=1,V53,0)</f>
        <v>0</v>
      </c>
      <c r="BP45" s="288">
        <f>IF($AG53=1,U53,0)</f>
        <v>0</v>
      </c>
      <c r="BQ45" s="293"/>
      <c r="BR45" s="294"/>
      <c r="BS45" s="308">
        <f>+BK45+BM45+BO45</f>
        <v>0</v>
      </c>
      <c r="BT45" s="358">
        <f>+BL45+BN45+BP45+BR45</f>
        <v>0</v>
      </c>
      <c r="BU45" s="354">
        <f>IF(AG45=1,IF(BS45=0,0,IF(BT45=0,BS45,BS45/BT45)),"")</f>
      </c>
    </row>
    <row r="46" spans="3:31" ht="15">
      <c r="C46" s="52"/>
      <c r="D46" s="228"/>
      <c r="E46" s="67" t="s">
        <v>67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2"/>
      <c r="V46" s="103"/>
      <c r="X46" s="362"/>
      <c r="Y46" s="362"/>
      <c r="Z46" s="362"/>
      <c r="AA46" s="362"/>
      <c r="AB46" s="362"/>
      <c r="AC46" s="362"/>
      <c r="AD46" s="362"/>
      <c r="AE46" s="327"/>
    </row>
    <row r="47" spans="3:31" ht="15.75" thickBot="1">
      <c r="C47" s="52"/>
      <c r="D47" s="228"/>
      <c r="E47" s="66" t="s">
        <v>14</v>
      </c>
      <c r="F47" s="1"/>
      <c r="G47" s="1"/>
      <c r="H47" s="2"/>
      <c r="I47" s="483" t="s">
        <v>15</v>
      </c>
      <c r="J47" s="484"/>
      <c r="K47" s="485" t="s">
        <v>16</v>
      </c>
      <c r="L47" s="484"/>
      <c r="M47" s="485" t="s">
        <v>17</v>
      </c>
      <c r="N47" s="484"/>
      <c r="O47" s="485" t="s">
        <v>18</v>
      </c>
      <c r="P47" s="484"/>
      <c r="Q47" s="485" t="s">
        <v>19</v>
      </c>
      <c r="R47" s="484"/>
      <c r="S47" s="442" t="s">
        <v>20</v>
      </c>
      <c r="T47" s="429"/>
      <c r="U47" s="259" t="s">
        <v>13</v>
      </c>
      <c r="V47" s="260"/>
      <c r="W47" s="377" t="s">
        <v>70</v>
      </c>
      <c r="X47" s="250" t="s">
        <v>80</v>
      </c>
      <c r="Y47" s="250" t="s">
        <v>81</v>
      </c>
      <c r="Z47" s="361"/>
      <c r="AA47" s="361"/>
      <c r="AB47" s="361"/>
      <c r="AC47" s="361"/>
      <c r="AD47" s="361"/>
      <c r="AE47" s="327"/>
    </row>
    <row r="48" spans="3:44" ht="15">
      <c r="C48" s="53" t="s">
        <v>21</v>
      </c>
      <c r="D48" s="229"/>
      <c r="E48" s="82" t="str">
        <f>IF(E42&gt;0,E42,0)</f>
        <v>Chau Dinh Huy</v>
      </c>
      <c r="F48" s="75" t="str">
        <f>IF(E44&gt;0,E44,0)</f>
        <v>Tero Tamminen</v>
      </c>
      <c r="G48" s="3"/>
      <c r="H48" s="4"/>
      <c r="I48" s="477">
        <v>7</v>
      </c>
      <c r="J48" s="479"/>
      <c r="K48" s="477">
        <v>-8</v>
      </c>
      <c r="L48" s="479"/>
      <c r="M48" s="477">
        <v>8</v>
      </c>
      <c r="N48" s="479"/>
      <c r="O48" s="477">
        <v>3</v>
      </c>
      <c r="P48" s="479"/>
      <c r="Q48" s="486"/>
      <c r="R48" s="478"/>
      <c r="S48" s="214">
        <f aca="true" t="shared" si="24" ref="S48:S53">IF(COUNT(I48:Q48)=0,0,COUNTIF(I48:Q48,"&gt;=0"))</f>
        <v>3</v>
      </c>
      <c r="T48" s="215">
        <f aca="true" t="shared" si="25" ref="T48:T53">IF(COUNTA(I48:Q48)=0,0,(IF(LEFT(I48,1)="-",1,0)+IF(LEFT(K48,1)="-",1,0)+IF(LEFT(M48,1)="-",1,0)+IF(LEFT(O48,1)="-",1,0)+IF(LEFT(Q48,1)="-",1,0)))</f>
        <v>1</v>
      </c>
      <c r="U48" s="54">
        <f aca="true" t="shared" si="26" ref="U48:V53">+AI48+AK48+AM48+AO48+AQ48</f>
        <v>41</v>
      </c>
      <c r="V48" s="5">
        <f t="shared" si="26"/>
        <v>29</v>
      </c>
      <c r="W48" s="380"/>
      <c r="X48" s="397"/>
      <c r="Y48" s="397"/>
      <c r="Z48" s="361"/>
      <c r="AA48" s="361"/>
      <c r="AB48" s="361"/>
      <c r="AC48" s="361"/>
      <c r="AD48" s="361"/>
      <c r="AE48" s="327"/>
      <c r="AG48" s="253">
        <f>IF(AND(AG42=1,AG44=1),1,"")</f>
      </c>
      <c r="AI48" s="6">
        <f aca="true" t="shared" si="27" ref="AI48:AI53">IF(I48="",0,IF(LEFT(I48,1)="-",ABS(I48),(IF(I48&gt;9,I48+2,11))))</f>
        <v>11</v>
      </c>
      <c r="AJ48" s="7">
        <f aca="true" t="shared" si="28" ref="AJ48:AJ53">IF(I48="",0,IF(LEFT(I48,1)="-",(IF(ABS(I48)&gt;9,(ABS(I48)+2),11)),I48))</f>
        <v>7</v>
      </c>
      <c r="AK48" s="6">
        <f aca="true" t="shared" si="29" ref="AK48:AK53">IF(K48="",0,IF(LEFT(K48,1)="-",ABS(K48),(IF(K48&gt;9,K48+2,11))))</f>
        <v>8</v>
      </c>
      <c r="AL48" s="7">
        <f aca="true" t="shared" si="30" ref="AL48:AL53">IF(K48="",0,IF(LEFT(K48,1)="-",(IF(ABS(K48)&gt;9,(ABS(K48)+2),11)),K48))</f>
        <v>11</v>
      </c>
      <c r="AM48" s="6">
        <f aca="true" t="shared" si="31" ref="AM48:AM53">IF(M48="",0,IF(LEFT(M48,1)="-",ABS(M48),(IF(M48&gt;9,M48+2,11))))</f>
        <v>11</v>
      </c>
      <c r="AN48" s="7">
        <f aca="true" t="shared" si="32" ref="AN48:AN53">IF(M48="",0,IF(LEFT(M48,1)="-",(IF(ABS(M48)&gt;9,(ABS(M48)+2),11)),M48))</f>
        <v>8</v>
      </c>
      <c r="AO48" s="6">
        <f aca="true" t="shared" si="33" ref="AO48:AO53">IF(O48="",0,IF(LEFT(O48,1)="-",ABS(O48),(IF(O48&gt;9,O48+2,11))))</f>
        <v>11</v>
      </c>
      <c r="AP48" s="7">
        <f aca="true" t="shared" si="34" ref="AP48:AP53">IF(O48="",0,IF(LEFT(O48,1)="-",(IF(ABS(O48)&gt;9,(ABS(O48)+2),11)),O48))</f>
        <v>3</v>
      </c>
      <c r="AQ48" s="6">
        <f aca="true" t="shared" si="35" ref="AQ48:AQ53">IF(Q48="",0,IF(LEFT(Q48,1)="-",ABS(Q48),(IF(Q48&gt;9,Q48+2,11))))</f>
        <v>0</v>
      </c>
      <c r="AR48" s="7">
        <f>IF(Q48="",0,IF(LEFT(Q48,1)="-",(IF(ABS(Q48)&gt;9,(ABS(Q48)+2),11)),Q48))</f>
        <v>0</v>
      </c>
    </row>
    <row r="49" spans="3:44" ht="15">
      <c r="C49" s="53" t="s">
        <v>22</v>
      </c>
      <c r="D49" s="229"/>
      <c r="E49" s="82" t="str">
        <f>IF(E43&gt;0,E43,0)</f>
        <v>Jussi Mäkelä</v>
      </c>
      <c r="F49" s="76" t="str">
        <f>IF(E45&gt;0,E45,0)</f>
        <v>Thomas Lundström</v>
      </c>
      <c r="G49" s="8"/>
      <c r="H49" s="4"/>
      <c r="I49" s="472">
        <v>5</v>
      </c>
      <c r="J49" s="473"/>
      <c r="K49" s="472">
        <v>7</v>
      </c>
      <c r="L49" s="473"/>
      <c r="M49" s="472">
        <v>-5</v>
      </c>
      <c r="N49" s="473"/>
      <c r="O49" s="472">
        <v>6</v>
      </c>
      <c r="P49" s="473"/>
      <c r="Q49" s="472"/>
      <c r="R49" s="476"/>
      <c r="S49" s="216">
        <f t="shared" si="24"/>
        <v>3</v>
      </c>
      <c r="T49" s="205">
        <f t="shared" si="25"/>
        <v>1</v>
      </c>
      <c r="U49" s="54">
        <f t="shared" si="26"/>
        <v>38</v>
      </c>
      <c r="V49" s="5">
        <f t="shared" si="26"/>
        <v>29</v>
      </c>
      <c r="W49" s="380"/>
      <c r="X49" s="397"/>
      <c r="Y49" s="397"/>
      <c r="Z49" s="361"/>
      <c r="AA49" s="361"/>
      <c r="AB49" s="361"/>
      <c r="AC49" s="361"/>
      <c r="AD49" s="361"/>
      <c r="AE49" s="327"/>
      <c r="AG49" s="253">
        <f>IF(AND(AG43=1,AG45=1),1,"")</f>
      </c>
      <c r="AI49" s="9">
        <f t="shared" si="27"/>
        <v>11</v>
      </c>
      <c r="AJ49" s="10">
        <f t="shared" si="28"/>
        <v>5</v>
      </c>
      <c r="AK49" s="9">
        <f t="shared" si="29"/>
        <v>11</v>
      </c>
      <c r="AL49" s="10">
        <f t="shared" si="30"/>
        <v>7</v>
      </c>
      <c r="AM49" s="9">
        <f t="shared" si="31"/>
        <v>5</v>
      </c>
      <c r="AN49" s="10">
        <f t="shared" si="32"/>
        <v>11</v>
      </c>
      <c r="AO49" s="9">
        <f t="shared" si="33"/>
        <v>11</v>
      </c>
      <c r="AP49" s="10">
        <f t="shared" si="34"/>
        <v>6</v>
      </c>
      <c r="AQ49" s="9">
        <f t="shared" si="35"/>
        <v>0</v>
      </c>
      <c r="AR49" s="10">
        <f>IF(Q49="",0,IF(LEFT(Q49,1)="-",(IF(ABS(Q49)&gt;9,(ABS(Q49)+2),11)),Q49))</f>
        <v>0</v>
      </c>
    </row>
    <row r="50" spans="3:44" ht="15">
      <c r="C50" s="53" t="s">
        <v>23</v>
      </c>
      <c r="D50" s="229"/>
      <c r="E50" s="83" t="str">
        <f>IF(E42&gt;0,E42,0)</f>
        <v>Chau Dinh Huy</v>
      </c>
      <c r="F50" s="77" t="str">
        <f>IF(E45&gt;0,E45,0)</f>
        <v>Thomas Lundström</v>
      </c>
      <c r="G50" s="8"/>
      <c r="H50" s="65"/>
      <c r="I50" s="472">
        <v>6</v>
      </c>
      <c r="J50" s="473"/>
      <c r="K50" s="472">
        <v>-7</v>
      </c>
      <c r="L50" s="473"/>
      <c r="M50" s="472">
        <v>5</v>
      </c>
      <c r="N50" s="473"/>
      <c r="O50" s="472">
        <v>5</v>
      </c>
      <c r="P50" s="473"/>
      <c r="Q50" s="472"/>
      <c r="R50" s="476"/>
      <c r="S50" s="216">
        <f t="shared" si="24"/>
        <v>3</v>
      </c>
      <c r="T50" s="205">
        <f t="shared" si="25"/>
        <v>1</v>
      </c>
      <c r="U50" s="54">
        <f t="shared" si="26"/>
        <v>40</v>
      </c>
      <c r="V50" s="5">
        <f t="shared" si="26"/>
        <v>27</v>
      </c>
      <c r="W50" s="380"/>
      <c r="X50" s="397"/>
      <c r="Y50" s="397"/>
      <c r="Z50" s="361"/>
      <c r="AA50" s="361"/>
      <c r="AB50" s="361"/>
      <c r="AC50" s="361"/>
      <c r="AD50" s="361"/>
      <c r="AE50" s="327"/>
      <c r="AG50" s="253">
        <f>IF(AND(AG42=1,AG45=1),1,"")</f>
      </c>
      <c r="AI50" s="9">
        <f t="shared" si="27"/>
        <v>11</v>
      </c>
      <c r="AJ50" s="10">
        <f t="shared" si="28"/>
        <v>6</v>
      </c>
      <c r="AK50" s="9">
        <f t="shared" si="29"/>
        <v>7</v>
      </c>
      <c r="AL50" s="10">
        <f t="shared" si="30"/>
        <v>11</v>
      </c>
      <c r="AM50" s="9">
        <f t="shared" si="31"/>
        <v>11</v>
      </c>
      <c r="AN50" s="10">
        <f t="shared" si="32"/>
        <v>5</v>
      </c>
      <c r="AO50" s="9">
        <f t="shared" si="33"/>
        <v>11</v>
      </c>
      <c r="AP50" s="10">
        <f t="shared" si="34"/>
        <v>5</v>
      </c>
      <c r="AQ50" s="9">
        <f t="shared" si="35"/>
        <v>0</v>
      </c>
      <c r="AR50" s="10">
        <f>IF(Q50="",0,IF(LEFT(Q50,1)="-",(IF(ABS(Q50)&gt;9,(ABS(Q50)+2),11)),Q50))</f>
        <v>0</v>
      </c>
    </row>
    <row r="51" spans="3:44" ht="15">
      <c r="C51" s="53" t="s">
        <v>24</v>
      </c>
      <c r="D51" s="229"/>
      <c r="E51" s="82" t="str">
        <f>IF(E43&gt;0,E43,0)</f>
        <v>Jussi Mäkelä</v>
      </c>
      <c r="F51" s="76" t="str">
        <f>IF(E44&gt;0,E44,0)</f>
        <v>Tero Tamminen</v>
      </c>
      <c r="G51" s="3"/>
      <c r="H51" s="4"/>
      <c r="I51" s="477">
        <v>-6</v>
      </c>
      <c r="J51" s="479"/>
      <c r="K51" s="477">
        <v>-9</v>
      </c>
      <c r="L51" s="479"/>
      <c r="M51" s="477">
        <v>8</v>
      </c>
      <c r="N51" s="479"/>
      <c r="O51" s="477">
        <v>10</v>
      </c>
      <c r="P51" s="479"/>
      <c r="Q51" s="477">
        <v>6</v>
      </c>
      <c r="R51" s="478"/>
      <c r="S51" s="216">
        <f t="shared" si="24"/>
        <v>3</v>
      </c>
      <c r="T51" s="205">
        <f t="shared" si="25"/>
        <v>2</v>
      </c>
      <c r="U51" s="54">
        <f t="shared" si="26"/>
        <v>49</v>
      </c>
      <c r="V51" s="5">
        <f t="shared" si="26"/>
        <v>46</v>
      </c>
      <c r="W51" s="380"/>
      <c r="X51" s="397"/>
      <c r="Y51" s="397"/>
      <c r="Z51" s="361"/>
      <c r="AA51" s="361"/>
      <c r="AB51" s="361"/>
      <c r="AC51" s="361"/>
      <c r="AD51" s="361"/>
      <c r="AE51" s="327"/>
      <c r="AG51" s="253">
        <f>IF(AND(AG43=1,AG44=1),1,"")</f>
      </c>
      <c r="AI51" s="9">
        <f t="shared" si="27"/>
        <v>6</v>
      </c>
      <c r="AJ51" s="10">
        <f t="shared" si="28"/>
        <v>11</v>
      </c>
      <c r="AK51" s="9">
        <f t="shared" si="29"/>
        <v>9</v>
      </c>
      <c r="AL51" s="10">
        <f t="shared" si="30"/>
        <v>11</v>
      </c>
      <c r="AM51" s="9">
        <f t="shared" si="31"/>
        <v>11</v>
      </c>
      <c r="AN51" s="10">
        <f t="shared" si="32"/>
        <v>8</v>
      </c>
      <c r="AO51" s="9">
        <f t="shared" si="33"/>
        <v>12</v>
      </c>
      <c r="AP51" s="10">
        <f t="shared" si="34"/>
        <v>10</v>
      </c>
      <c r="AQ51" s="9">
        <f t="shared" si="35"/>
        <v>11</v>
      </c>
      <c r="AR51" s="10">
        <f>IF(Q51="",0,IF(LEFT(Q51,1)="-",(IF(ABS(Q51)&gt;9,(ABS(Q51)+2),11)),Q51))</f>
        <v>6</v>
      </c>
    </row>
    <row r="52" spans="3:44" ht="15">
      <c r="C52" s="53" t="s">
        <v>25</v>
      </c>
      <c r="D52" s="229"/>
      <c r="E52" s="82" t="str">
        <f>IF(E42&gt;0,E42,0)</f>
        <v>Chau Dinh Huy</v>
      </c>
      <c r="F52" s="76" t="str">
        <f>IF(E43&gt;0,E43,0)</f>
        <v>Jussi Mäkelä</v>
      </c>
      <c r="G52" s="8"/>
      <c r="H52" s="4"/>
      <c r="I52" s="472">
        <v>-3</v>
      </c>
      <c r="J52" s="473"/>
      <c r="K52" s="472">
        <v>6</v>
      </c>
      <c r="L52" s="473"/>
      <c r="M52" s="474">
        <v>-3</v>
      </c>
      <c r="N52" s="473"/>
      <c r="O52" s="472">
        <v>6</v>
      </c>
      <c r="P52" s="473"/>
      <c r="Q52" s="472">
        <v>8</v>
      </c>
      <c r="R52" s="476"/>
      <c r="S52" s="216">
        <f t="shared" si="24"/>
        <v>3</v>
      </c>
      <c r="T52" s="205">
        <f t="shared" si="25"/>
        <v>2</v>
      </c>
      <c r="U52" s="54">
        <f t="shared" si="26"/>
        <v>39</v>
      </c>
      <c r="V52" s="5">
        <f t="shared" si="26"/>
        <v>42</v>
      </c>
      <c r="W52" s="380"/>
      <c r="X52" s="397"/>
      <c r="Y52" s="397"/>
      <c r="Z52" s="361"/>
      <c r="AA52" s="361"/>
      <c r="AB52" s="361"/>
      <c r="AC52" s="361"/>
      <c r="AD52" s="361"/>
      <c r="AE52" s="327"/>
      <c r="AG52" s="253">
        <f>IF(AND(AG42=1,AG43=1),1,"")</f>
      </c>
      <c r="AI52" s="9">
        <f t="shared" si="27"/>
        <v>3</v>
      </c>
      <c r="AJ52" s="10">
        <f t="shared" si="28"/>
        <v>11</v>
      </c>
      <c r="AK52" s="9">
        <f t="shared" si="29"/>
        <v>11</v>
      </c>
      <c r="AL52" s="10">
        <f t="shared" si="30"/>
        <v>6</v>
      </c>
      <c r="AM52" s="9">
        <f t="shared" si="31"/>
        <v>3</v>
      </c>
      <c r="AN52" s="10">
        <f t="shared" si="32"/>
        <v>11</v>
      </c>
      <c r="AO52" s="9">
        <f t="shared" si="33"/>
        <v>11</v>
      </c>
      <c r="AP52" s="10">
        <f t="shared" si="34"/>
        <v>6</v>
      </c>
      <c r="AQ52" s="9">
        <f t="shared" si="35"/>
        <v>11</v>
      </c>
      <c r="AR52" s="10">
        <f>IF(Q52="",0,IF(LEFT(Q52,1)="-",(IF(ABS(Q52)&gt;9,(ABS(Q52)+2),11)),Q52))</f>
        <v>8</v>
      </c>
    </row>
    <row r="53" spans="3:44" ht="15.75" thickBot="1">
      <c r="C53" s="56" t="s">
        <v>26</v>
      </c>
      <c r="D53" s="230"/>
      <c r="E53" s="84" t="str">
        <f>IF(E44&gt;0,E44,0)</f>
        <v>Tero Tamminen</v>
      </c>
      <c r="F53" s="78" t="str">
        <f>IF(E45&gt;0,E45,0)</f>
        <v>Thomas Lundström</v>
      </c>
      <c r="G53" s="1"/>
      <c r="H53" s="28"/>
      <c r="I53" s="470">
        <v>10</v>
      </c>
      <c r="J53" s="475"/>
      <c r="K53" s="470">
        <v>11</v>
      </c>
      <c r="L53" s="475"/>
      <c r="M53" s="470">
        <v>-10</v>
      </c>
      <c r="N53" s="475"/>
      <c r="O53" s="470">
        <v>-10</v>
      </c>
      <c r="P53" s="475"/>
      <c r="Q53" s="470">
        <v>7</v>
      </c>
      <c r="R53" s="471"/>
      <c r="S53" s="206">
        <f t="shared" si="24"/>
        <v>3</v>
      </c>
      <c r="T53" s="207">
        <f t="shared" si="25"/>
        <v>2</v>
      </c>
      <c r="U53" s="386">
        <f t="shared" si="26"/>
        <v>56</v>
      </c>
      <c r="V53" s="387">
        <f t="shared" si="26"/>
        <v>52</v>
      </c>
      <c r="W53" s="380"/>
      <c r="X53" s="397"/>
      <c r="Y53" s="397"/>
      <c r="Z53" s="361"/>
      <c r="AA53" s="361"/>
      <c r="AB53" s="361"/>
      <c r="AC53" s="361"/>
      <c r="AD53" s="361"/>
      <c r="AE53" s="327"/>
      <c r="AG53" s="253">
        <f>IF(AND(AG44=1,AG45=1),1,"")</f>
      </c>
      <c r="AI53" s="11">
        <f t="shared" si="27"/>
        <v>12</v>
      </c>
      <c r="AJ53" s="12">
        <f t="shared" si="28"/>
        <v>10</v>
      </c>
      <c r="AK53" s="11">
        <f t="shared" si="29"/>
        <v>13</v>
      </c>
      <c r="AL53" s="12">
        <f t="shared" si="30"/>
        <v>11</v>
      </c>
      <c r="AM53" s="11">
        <f t="shared" si="31"/>
        <v>10</v>
      </c>
      <c r="AN53" s="12">
        <f t="shared" si="32"/>
        <v>12</v>
      </c>
      <c r="AO53" s="11">
        <f t="shared" si="33"/>
        <v>10</v>
      </c>
      <c r="AP53" s="12">
        <f t="shared" si="34"/>
        <v>12</v>
      </c>
      <c r="AQ53" s="11">
        <f t="shared" si="35"/>
        <v>11</v>
      </c>
      <c r="AR53" s="12">
        <f>IF(Q53=0,0,IF(LEFT(Q53,1)="-",(IF(ABS(Q53)&gt;9,(ABS(Q53)+2),11)),Q53))</f>
        <v>7</v>
      </c>
    </row>
    <row r="54" spans="24:31" ht="15">
      <c r="X54" s="362"/>
      <c r="Y54" s="362"/>
      <c r="Z54" s="362"/>
      <c r="AA54" s="362"/>
      <c r="AB54" s="362"/>
      <c r="AC54" s="362"/>
      <c r="AD54" s="362"/>
      <c r="AE54" s="327"/>
    </row>
    <row r="55" spans="6:31" ht="16.5" thickBot="1">
      <c r="F55" s="190" t="s">
        <v>64</v>
      </c>
      <c r="G55" s="190"/>
      <c r="H55" s="190"/>
      <c r="I55" s="190"/>
      <c r="X55" s="362"/>
      <c r="Y55" s="362"/>
      <c r="Z55" s="362"/>
      <c r="AA55" s="362"/>
      <c r="AB55" s="362"/>
      <c r="AC55" s="362"/>
      <c r="AD55" s="362"/>
      <c r="AE55" s="327"/>
    </row>
    <row r="56" spans="3:31" ht="15.75">
      <c r="C56" s="34"/>
      <c r="D56" s="232"/>
      <c r="E56" s="195" t="str">
        <f>$E$5</f>
        <v>TOP-12 1-karsinta</v>
      </c>
      <c r="F56" s="35"/>
      <c r="G56" s="35"/>
      <c r="H56" s="35"/>
      <c r="I56" s="36"/>
      <c r="J56" s="432"/>
      <c r="K56" s="433"/>
      <c r="L56" s="433"/>
      <c r="M56" s="155"/>
      <c r="N56" s="38"/>
      <c r="O56" s="38"/>
      <c r="P56" s="38"/>
      <c r="Q56" s="156" t="s">
        <v>0</v>
      </c>
      <c r="R56" s="157"/>
      <c r="S56" s="434" t="s">
        <v>43</v>
      </c>
      <c r="T56" s="434"/>
      <c r="U56" s="434"/>
      <c r="V56" s="434"/>
      <c r="W56" s="378"/>
      <c r="X56" s="363"/>
      <c r="Y56" s="363"/>
      <c r="Z56" s="363"/>
      <c r="AA56" s="363"/>
      <c r="AB56" s="363"/>
      <c r="AC56" s="363"/>
      <c r="AD56" s="363"/>
      <c r="AE56" s="327"/>
    </row>
    <row r="57" spans="3:43" ht="16.5" thickBot="1">
      <c r="C57" s="99"/>
      <c r="D57" s="233"/>
      <c r="E57" s="196" t="str">
        <f>$E$6</f>
        <v>SPTL</v>
      </c>
      <c r="F57" s="100" t="s">
        <v>1</v>
      </c>
      <c r="G57" s="447"/>
      <c r="H57" s="468"/>
      <c r="I57" s="469"/>
      <c r="J57" s="449" t="s">
        <v>2</v>
      </c>
      <c r="K57" s="450"/>
      <c r="L57" s="450"/>
      <c r="M57" s="451">
        <f>$M$6</f>
        <v>42280</v>
      </c>
      <c r="N57" s="451"/>
      <c r="O57" s="451"/>
      <c r="P57" s="452"/>
      <c r="Q57" s="435" t="s">
        <v>3</v>
      </c>
      <c r="R57" s="436"/>
      <c r="S57" s="437" t="str">
        <f>$S$6</f>
        <v>11:00</v>
      </c>
      <c r="T57" s="438"/>
      <c r="U57" s="438"/>
      <c r="V57" s="439"/>
      <c r="W57" s="336"/>
      <c r="X57" s="360"/>
      <c r="Y57" s="360"/>
      <c r="Z57" s="360"/>
      <c r="AA57" s="360"/>
      <c r="AB57" s="360"/>
      <c r="AC57" s="360"/>
      <c r="AD57" s="360"/>
      <c r="AE57" s="364"/>
      <c r="AF57" s="13"/>
      <c r="AG57" s="13"/>
      <c r="AQ57" t="s">
        <v>20</v>
      </c>
    </row>
    <row r="58" spans="3:73" ht="15.75" thickBot="1">
      <c r="C58" s="43"/>
      <c r="D58" s="238"/>
      <c r="E58" s="317" t="s">
        <v>4</v>
      </c>
      <c r="F58" s="175" t="s">
        <v>5</v>
      </c>
      <c r="G58" s="453" t="s">
        <v>6</v>
      </c>
      <c r="H58" s="458"/>
      <c r="I58" s="459" t="s">
        <v>7</v>
      </c>
      <c r="J58" s="460"/>
      <c r="K58" s="461" t="s">
        <v>8</v>
      </c>
      <c r="L58" s="458"/>
      <c r="M58" s="459" t="s">
        <v>9</v>
      </c>
      <c r="N58" s="460"/>
      <c r="O58" s="462" t="s">
        <v>27</v>
      </c>
      <c r="P58" s="458"/>
      <c r="Q58" s="467" t="s">
        <v>28</v>
      </c>
      <c r="R58" s="441"/>
      <c r="S58" s="44" t="s">
        <v>10</v>
      </c>
      <c r="T58" s="45" t="s">
        <v>11</v>
      </c>
      <c r="U58" s="446" t="s">
        <v>69</v>
      </c>
      <c r="V58" s="441"/>
      <c r="W58" s="160" t="s">
        <v>12</v>
      </c>
      <c r="X58" s="365"/>
      <c r="Y58" s="330" t="s">
        <v>74</v>
      </c>
      <c r="Z58" s="300"/>
      <c r="AA58" s="300"/>
      <c r="AB58" s="300"/>
      <c r="AC58" s="368"/>
      <c r="AD58" s="369"/>
      <c r="AE58" s="337" t="s">
        <v>73</v>
      </c>
      <c r="AG58" s="197" t="s">
        <v>65</v>
      </c>
      <c r="AI58" s="330" t="s">
        <v>74</v>
      </c>
      <c r="AJ58" s="300"/>
      <c r="AK58" s="300"/>
      <c r="AL58" s="324"/>
      <c r="AO58" s="337" t="s">
        <v>73</v>
      </c>
      <c r="AQ58" s="465" t="s">
        <v>6</v>
      </c>
      <c r="AR58" s="466"/>
      <c r="AS58" s="319" t="s">
        <v>7</v>
      </c>
      <c r="AT58" s="320"/>
      <c r="AU58" s="321" t="s">
        <v>8</v>
      </c>
      <c r="AV58" s="318"/>
      <c r="AW58" s="319" t="s">
        <v>9</v>
      </c>
      <c r="AX58" s="320"/>
      <c r="AY58" s="322" t="s">
        <v>27</v>
      </c>
      <c r="AZ58" s="323"/>
      <c r="BA58" s="489" t="s">
        <v>28</v>
      </c>
      <c r="BB58" s="490"/>
      <c r="BC58" s="261" t="s">
        <v>66</v>
      </c>
      <c r="BD58" s="262"/>
      <c r="BE58" s="277" t="s">
        <v>71</v>
      </c>
      <c r="BG58" s="298" t="s">
        <v>72</v>
      </c>
      <c r="BH58" s="299"/>
      <c r="BI58" s="299"/>
      <c r="BJ58" s="300"/>
      <c r="BK58" s="300"/>
      <c r="BL58" s="300"/>
      <c r="BM58" s="300"/>
      <c r="BN58" s="300"/>
      <c r="BO58" s="300"/>
      <c r="BP58" s="300"/>
      <c r="BQ58" s="300"/>
      <c r="BR58" s="300"/>
      <c r="BS58" s="340" t="s">
        <v>76</v>
      </c>
      <c r="BT58" s="341"/>
      <c r="BU58" s="325" t="s">
        <v>71</v>
      </c>
    </row>
    <row r="59" spans="2:73" ht="15.75">
      <c r="B59" s="33">
        <f aca="true" t="shared" si="36" ref="B59:B64">W59</f>
        <v>2</v>
      </c>
      <c r="C59" s="235">
        <v>1</v>
      </c>
      <c r="D59" s="314" t="s">
        <v>45</v>
      </c>
      <c r="E59" s="242" t="str">
        <f>VLOOKUP(1,$B$8:$F$11,4,FALSE)</f>
        <v>Jani Jormanainen</v>
      </c>
      <c r="F59" s="164" t="str">
        <f>VLOOKUP(1,$B$8:$F$11,5,FALSE)</f>
        <v>PT Espoo</v>
      </c>
      <c r="G59" s="14"/>
      <c r="H59" s="104"/>
      <c r="I59" s="105">
        <f>+S79</f>
        <v>2</v>
      </c>
      <c r="J59" s="106">
        <f>+T79</f>
        <v>3</v>
      </c>
      <c r="K59" s="25">
        <f>S73</f>
        <v>3</v>
      </c>
      <c r="L59" s="25">
        <f>T73</f>
        <v>0</v>
      </c>
      <c r="M59" s="105">
        <f>S70</f>
        <v>3</v>
      </c>
      <c r="N59" s="106">
        <f>T70</f>
        <v>1</v>
      </c>
      <c r="O59" s="25">
        <f>S67</f>
        <v>3</v>
      </c>
      <c r="P59" s="25">
        <f>T67</f>
        <v>0</v>
      </c>
      <c r="Q59" s="105">
        <f>S76</f>
        <v>3</v>
      </c>
      <c r="R59" s="17">
        <f>T76</f>
        <v>0</v>
      </c>
      <c r="S59" s="18">
        <f>IF(SUM(G59:R59)=0,0,COUNTIF(H59:H64,"3"))</f>
        <v>4</v>
      </c>
      <c r="T59" s="19">
        <f>IF(SUM(H59:R59)=0,0,COUNTIF(G59:G64,"3"))</f>
        <v>1</v>
      </c>
      <c r="U59" s="407">
        <f aca="true" t="shared" si="37" ref="U59:U64">+AE59</f>
        <v>9</v>
      </c>
      <c r="V59" s="408"/>
      <c r="W59" s="217">
        <v>2</v>
      </c>
      <c r="X59" s="366"/>
      <c r="Y59" s="331"/>
      <c r="Z59" s="250">
        <f>IF($S79=3,2,IF($W79=1,0,1))</f>
        <v>1</v>
      </c>
      <c r="AA59" s="250">
        <f>IF($S73=3,2,IF($W73=1,0,1))</f>
        <v>2</v>
      </c>
      <c r="AB59" s="250">
        <f>IF($S70=3,2,IF($W70=1,0,1))</f>
        <v>2</v>
      </c>
      <c r="AC59" s="250">
        <f>IF($S67=3,2,IF($W67=1,0,1))</f>
        <v>2</v>
      </c>
      <c r="AD59" s="250">
        <f>IF($S76=3,2,IF($W76=1,0,1))</f>
        <v>2</v>
      </c>
      <c r="AE59" s="332">
        <f aca="true" t="shared" si="38" ref="AE59:AE64">SUM(Y59:AD59)</f>
        <v>9</v>
      </c>
      <c r="AG59" s="380"/>
      <c r="AI59" s="331"/>
      <c r="AJ59" s="250">
        <f>IF($AG79=1,IF($S79=3,2,IF($W79=1,0,1)),"")</f>
      </c>
      <c r="AK59" s="250">
        <f>IF($AG73=1,IF($S73=3,2,IF($W73=1,0,1)),"")</f>
      </c>
      <c r="AL59" s="250">
        <f>IF($AG70=1,IF($S70=3,2,IF($W70=1,0,1)),"")</f>
      </c>
      <c r="AM59" s="250">
        <f>IF($AG76=1,IF($S67=3,2,IF($W67=1,0,1)),"")</f>
      </c>
      <c r="AN59" s="250">
        <f>IF($AG76=1,IF($S76=3,2,IF($W76=1,0,1)),"")</f>
      </c>
      <c r="AO59" s="332">
        <f aca="true" t="shared" si="39" ref="AO59:AO64">SUM(AI59:AN59)</f>
        <v>0</v>
      </c>
      <c r="AQ59" s="248"/>
      <c r="AR59" s="249"/>
      <c r="AS59" s="250">
        <f>IF($AG79=1,S79,"")</f>
      </c>
      <c r="AT59" s="250">
        <f>IF($AG79=1,T79,"")</f>
      </c>
      <c r="AU59" s="250">
        <f>IF($AG73=1,S73,"")</f>
      </c>
      <c r="AV59" s="250">
        <f>IF($AG73=1,T73,"")</f>
      </c>
      <c r="AW59" s="250">
        <f>IF($AG70=1,S70,"")</f>
      </c>
      <c r="AX59" s="250">
        <f>IF($AG70=1,T70,"")</f>
      </c>
      <c r="AY59" s="250">
        <f>IF($AG67=1,S67,"")</f>
      </c>
      <c r="AZ59" s="250">
        <f>IF($AG67=1,T67,"")</f>
      </c>
      <c r="BA59" s="250">
        <f>IF($AG76=1,S76,"")</f>
      </c>
      <c r="BB59" s="250">
        <f>IF($AG76=1,T76,"")</f>
      </c>
      <c r="BC59" s="263">
        <f>IF(SUM(AQ59:BB59)=0,"",SUM(AR59:AR64))</f>
      </c>
      <c r="BD59" s="301">
        <f>IF(SUM(AQ59:BB59)=0,"",SUM(AQ58:AQ64))</f>
      </c>
      <c r="BE59" s="326">
        <f aca="true" t="shared" si="40" ref="BE59:BE64">IF(AG59=1,IF(BC59=0,0,IF(BD59=0,BC59,BC59/BD59)),"")</f>
      </c>
      <c r="BG59" s="291"/>
      <c r="BH59" s="292"/>
      <c r="BI59" s="309">
        <f>IF($AG79=1,U79,0)</f>
        <v>0</v>
      </c>
      <c r="BJ59" s="287">
        <f>IF($AG79=1,V79,0)</f>
        <v>0</v>
      </c>
      <c r="BK59" s="309">
        <f>IF($AG73=1,U73,0)</f>
        <v>0</v>
      </c>
      <c r="BL59" s="287">
        <f>IF($AG73=1,V73,0)</f>
        <v>0</v>
      </c>
      <c r="BM59" s="309">
        <f>IF($AG70=1,U70,0)</f>
        <v>0</v>
      </c>
      <c r="BN59" s="287">
        <f>IF($AG70=1,V70,0)</f>
        <v>0</v>
      </c>
      <c r="BO59" s="309">
        <f>IF($AG67=1,U67,0)</f>
        <v>0</v>
      </c>
      <c r="BP59" s="287">
        <f>IF($AG67=1,V67,0)</f>
        <v>0</v>
      </c>
      <c r="BQ59" s="309">
        <f>IF($AG76=1,U76,0)</f>
        <v>0</v>
      </c>
      <c r="BR59" s="251">
        <f>IF($AG76=1,V76,0)</f>
        <v>0</v>
      </c>
      <c r="BS59" s="348">
        <f aca="true" t="shared" si="41" ref="BS59:BS64">+BG59+BI59+BK59+BM59+BO59+BQ59</f>
        <v>0</v>
      </c>
      <c r="BT59" s="339">
        <f aca="true" t="shared" si="42" ref="BT59:BT64">+BJ59+BL59+BN59+BP59+BR59</f>
        <v>0</v>
      </c>
      <c r="BU59" s="355">
        <f aca="true" t="shared" si="43" ref="BU59:BU64">IF(AG59=1,IF(BS59=0,0,IF(BT59=0,BS59,BS59/BT59)),"")</f>
      </c>
    </row>
    <row r="60" spans="2:73" ht="15.75">
      <c r="B60" s="33">
        <f t="shared" si="36"/>
        <v>1</v>
      </c>
      <c r="C60" s="236">
        <v>2</v>
      </c>
      <c r="D60" s="314" t="s">
        <v>46</v>
      </c>
      <c r="E60" s="242" t="str">
        <f>VLOOKUP(1,$B$25:$F$28,4,FALSE)</f>
        <v>Alex Naumi</v>
      </c>
      <c r="F60" s="164" t="str">
        <f>VLOOKUP(1,$B$25:$F$28,5,FALSE)</f>
        <v>KoKa</v>
      </c>
      <c r="G60" s="20">
        <f>+T79</f>
        <v>3</v>
      </c>
      <c r="H60" s="107">
        <f>+S79</f>
        <v>2</v>
      </c>
      <c r="I60" s="108"/>
      <c r="J60" s="109"/>
      <c r="K60" s="107">
        <f>S77</f>
        <v>2</v>
      </c>
      <c r="L60" s="107">
        <f>T77</f>
        <v>3</v>
      </c>
      <c r="M60" s="110">
        <f>S68</f>
        <v>3</v>
      </c>
      <c r="N60" s="111">
        <f>T68</f>
        <v>2</v>
      </c>
      <c r="O60" s="25">
        <f>S74</f>
        <v>3</v>
      </c>
      <c r="P60" s="25">
        <f>T74</f>
        <v>0</v>
      </c>
      <c r="Q60" s="105">
        <f>S71</f>
        <v>3</v>
      </c>
      <c r="R60" s="17">
        <f>T71</f>
        <v>0</v>
      </c>
      <c r="S60" s="18">
        <f>IF(SUM(G60:R60)=0,0,COUNTIF(J59:J64,"3"))</f>
        <v>4</v>
      </c>
      <c r="T60" s="19">
        <f>IF(SUM(H60:R60)=0,0,COUNTIF(I59:I64,"3"))</f>
        <v>1</v>
      </c>
      <c r="U60" s="407">
        <f t="shared" si="37"/>
        <v>9</v>
      </c>
      <c r="V60" s="408"/>
      <c r="W60" s="217">
        <v>1</v>
      </c>
      <c r="X60" s="366"/>
      <c r="Y60" s="250">
        <f>IF($T79=3,2,IF($W79=1,0,1))</f>
        <v>2</v>
      </c>
      <c r="Z60" s="331"/>
      <c r="AA60" s="250">
        <f>IF($S77=3,2,IF($W77=1,0,1))</f>
        <v>1</v>
      </c>
      <c r="AB60" s="250">
        <f>IF($S68=3,2,IF($W68=1,0,1))</f>
        <v>2</v>
      </c>
      <c r="AC60" s="250">
        <f>IF($S74=3,2,IF($W74=1,0,1))</f>
        <v>2</v>
      </c>
      <c r="AD60" s="250">
        <f>IF($S71=3,2,IF($W71=1,0,1))</f>
        <v>2</v>
      </c>
      <c r="AE60" s="332">
        <f t="shared" si="38"/>
        <v>9</v>
      </c>
      <c r="AG60" s="380"/>
      <c r="AI60" s="250">
        <f>IF($AG79=1,IF($T79=3,2,IF($W79=1,0,1)),"")</f>
      </c>
      <c r="AJ60" s="331"/>
      <c r="AK60" s="250">
        <f>IF($AG77=1,IF($S77=3,2,IF($W77=1,0,1)),"")</f>
      </c>
      <c r="AL60" s="250">
        <f>IF($AG68=1,IF($S68=3,2,IF($W68=1,0,1)),"")</f>
      </c>
      <c r="AM60" s="250">
        <f>IF($AG74=1,IF($S74=3,2,IF($W74=1,0,1)),"")</f>
      </c>
      <c r="AN60" s="250">
        <f>IF($AG71=1,IF($S71=3,2,IF($W71=1,0,1)),"")</f>
      </c>
      <c r="AO60" s="332">
        <f t="shared" si="39"/>
        <v>0</v>
      </c>
      <c r="AQ60" s="278">
        <f>IF($AG79=1,T79,"")</f>
      </c>
      <c r="AR60" s="281">
        <f>IF($AG79=1,S79,"")</f>
      </c>
      <c r="AS60" s="248"/>
      <c r="AT60" s="249"/>
      <c r="AU60" s="250">
        <f>IF($AG77=1,S77,"")</f>
      </c>
      <c r="AV60" s="250">
        <f>IF($AG77=1,T77,"")</f>
      </c>
      <c r="AW60" s="250">
        <f>IF($AG68=1,S68,"")</f>
      </c>
      <c r="AX60" s="250">
        <f>IF($AG68=1,T68,"")</f>
      </c>
      <c r="AY60" s="250">
        <f>IF($AG74=1,S74,"")</f>
      </c>
      <c r="AZ60" s="250">
        <f>IF($AG74=1,T74,"")</f>
      </c>
      <c r="BA60" s="250">
        <f>IF($AG71=1,S71,"")</f>
      </c>
      <c r="BB60" s="250">
        <f>IF($AG71=1,T71,"")</f>
      </c>
      <c r="BC60" s="256">
        <f>IF(SUM(AQ60:BB60)=0,"",SUM(AT59:AT64))</f>
      </c>
      <c r="BD60" s="302">
        <f>IF(SUM(AQ60:BB60)=0,"",SUM(AS59:AS64))</f>
      </c>
      <c r="BE60" s="326">
        <f t="shared" si="40"/>
      </c>
      <c r="BG60" s="306">
        <f>IF($AG79=1,V79,0)</f>
        <v>0</v>
      </c>
      <c r="BH60" s="287">
        <f>IF($AG79=1,U79,0)</f>
        <v>0</v>
      </c>
      <c r="BI60" s="289"/>
      <c r="BJ60" s="310"/>
      <c r="BK60" s="306">
        <f>IF($AG77=1,U77,0)</f>
        <v>0</v>
      </c>
      <c r="BL60" s="287">
        <f>IF($AG77=1,V77,0)</f>
        <v>0</v>
      </c>
      <c r="BM60" s="306">
        <f>IF($AG68=1,U68,0)</f>
        <v>0</v>
      </c>
      <c r="BN60" s="287">
        <f>IF($AG68=1,V68,0)</f>
        <v>0</v>
      </c>
      <c r="BO60" s="306">
        <f>IF($AG74=1,U74,0)</f>
        <v>0</v>
      </c>
      <c r="BP60" s="287">
        <f>IF($AG74=1,V74,0)</f>
        <v>0</v>
      </c>
      <c r="BQ60" s="306">
        <f>IF($AG71=1,U71,0)</f>
        <v>0</v>
      </c>
      <c r="BR60" s="251">
        <f>IF($AG71=1,V71,0)</f>
        <v>0</v>
      </c>
      <c r="BS60" s="349">
        <f t="shared" si="41"/>
        <v>0</v>
      </c>
      <c r="BT60" s="287">
        <f t="shared" si="42"/>
        <v>0</v>
      </c>
      <c r="BU60" s="356">
        <f t="shared" si="43"/>
      </c>
    </row>
    <row r="61" spans="2:73" ht="15.75">
      <c r="B61" s="33">
        <f t="shared" si="36"/>
        <v>3</v>
      </c>
      <c r="C61" s="236">
        <v>3</v>
      </c>
      <c r="D61" s="314" t="s">
        <v>47</v>
      </c>
      <c r="E61" s="242" t="str">
        <f>VLOOKUP(1,$B$42:$F$45,4,FALSE)</f>
        <v>Chau Dinh Huy</v>
      </c>
      <c r="F61" s="164" t="str">
        <f>VLOOKUP(1,$B$42:$F$45,5,FALSE)</f>
        <v>PT Espoo</v>
      </c>
      <c r="G61" s="20">
        <f>+T73</f>
        <v>0</v>
      </c>
      <c r="H61" s="107">
        <f>+S73</f>
        <v>3</v>
      </c>
      <c r="I61" s="110">
        <f>T77</f>
        <v>3</v>
      </c>
      <c r="J61" s="111">
        <f>S77</f>
        <v>2</v>
      </c>
      <c r="K61" s="24"/>
      <c r="L61" s="24"/>
      <c r="M61" s="110">
        <f>S80</f>
        <v>3</v>
      </c>
      <c r="N61" s="111">
        <f>T80</f>
        <v>1</v>
      </c>
      <c r="O61" s="25">
        <f>S72</f>
        <v>2</v>
      </c>
      <c r="P61" s="25">
        <f>T72</f>
        <v>3</v>
      </c>
      <c r="Q61" s="105">
        <f>S69</f>
        <v>3</v>
      </c>
      <c r="R61" s="17">
        <f>T69</f>
        <v>2</v>
      </c>
      <c r="S61" s="18">
        <f>IF(SUM(G61:R61)=0,0,COUNTIF(L59:L64,"3"))</f>
        <v>3</v>
      </c>
      <c r="T61" s="19">
        <f>IF(SUM(H61:R61)=0,0,COUNTIF(K59:K64,"3"))</f>
        <v>2</v>
      </c>
      <c r="U61" s="407">
        <f t="shared" si="37"/>
        <v>8</v>
      </c>
      <c r="V61" s="408"/>
      <c r="W61" s="217">
        <v>3</v>
      </c>
      <c r="X61" s="366"/>
      <c r="Y61" s="250">
        <f>IF($T73=3,2,IF($W73=1,0,1))</f>
        <v>1</v>
      </c>
      <c r="Z61" s="250">
        <f>IF($T77=3,2,IF($W77=1,0,1))</f>
        <v>2</v>
      </c>
      <c r="AA61" s="331"/>
      <c r="AB61" s="250">
        <f>IF($S80=3,2,IF($W80=1,0,1))</f>
        <v>2</v>
      </c>
      <c r="AC61" s="250">
        <f>IF($S72=3,2,IF($W72=1,0,1))</f>
        <v>1</v>
      </c>
      <c r="AD61" s="250">
        <f>IF($S69=3,2,IF($W69=1,0,1))</f>
        <v>2</v>
      </c>
      <c r="AE61" s="332">
        <f t="shared" si="38"/>
        <v>8</v>
      </c>
      <c r="AG61" s="380"/>
      <c r="AI61" s="250">
        <f>IF($AG73=1,IF($T73=3,2,IF($W73=1,0,1)),"")</f>
      </c>
      <c r="AJ61" s="250">
        <f>IF($AG77=1,IF($T77=3,2,IF($W77=1,0,1)),"")</f>
      </c>
      <c r="AK61" s="331"/>
      <c r="AL61" s="250">
        <f>IF($AG80=1,IF($S80=3,2,IF($W80=1,0,1)),"")</f>
      </c>
      <c r="AM61" s="250">
        <f>IF($AG72=1,IF($S72=3,2,IF($W72=1,0,1)),"")</f>
      </c>
      <c r="AN61" s="250">
        <f>IF($AG69=1,IF($S69=3,2,IF($W69=1,0,1)),"")</f>
      </c>
      <c r="AO61" s="332">
        <f t="shared" si="39"/>
        <v>0</v>
      </c>
      <c r="AQ61" s="278">
        <f>IF($AG73=1,T73,"")</f>
      </c>
      <c r="AR61" s="282">
        <f>IF($AG73=1,S73,"")</f>
      </c>
      <c r="AS61" s="250">
        <f>IF($AG77=1,T77,"")</f>
      </c>
      <c r="AT61" s="250">
        <f>IF($AG77=1,S77,"")</f>
      </c>
      <c r="AU61" s="248"/>
      <c r="AV61" s="249"/>
      <c r="AW61" s="250">
        <f>IF($AG80=1,S80,"")</f>
      </c>
      <c r="AX61" s="250">
        <f>IF($AG80=1,T80,"")</f>
      </c>
      <c r="AY61" s="250">
        <f>IF($AG72=1,S72,"")</f>
      </c>
      <c r="AZ61" s="250">
        <f>IF($AG72=1,T72,"")</f>
      </c>
      <c r="BA61" s="250">
        <f>IF($AG69=1,S69,"")</f>
      </c>
      <c r="BB61" s="250">
        <f>IF($AG69=1,T69,"")</f>
      </c>
      <c r="BC61" s="263">
        <f>IF(SUM(AQ61:BB61)=0,"",SUM(AV59:AV64))</f>
      </c>
      <c r="BD61" s="301">
        <f>IF(SUM(AQ61:BB61)=0,"",SUM(AU59:AU64))</f>
      </c>
      <c r="BE61" s="326">
        <f t="shared" si="40"/>
      </c>
      <c r="BG61" s="306">
        <f>IF($AG73=1,V73,0)</f>
        <v>0</v>
      </c>
      <c r="BH61" s="287">
        <f>IF($AG73=1,U73,0)</f>
        <v>0</v>
      </c>
      <c r="BI61" s="306">
        <f>IF($AG77=1,V77,0)</f>
        <v>0</v>
      </c>
      <c r="BJ61" s="287">
        <f>IF($AG77=1,U77,0)</f>
        <v>0</v>
      </c>
      <c r="BK61" s="291"/>
      <c r="BL61" s="292"/>
      <c r="BM61" s="306">
        <f>IF($AG80=1,U80,0)</f>
        <v>0</v>
      </c>
      <c r="BN61" s="287">
        <f>IF($AG80=1,V80,0)</f>
        <v>0</v>
      </c>
      <c r="BO61" s="306">
        <f>IF($AG72=1,U72,0)</f>
        <v>0</v>
      </c>
      <c r="BP61" s="287">
        <f>IF($AG72=1,V72,0)</f>
        <v>0</v>
      </c>
      <c r="BQ61" s="306">
        <f>IF($AG69=1,U69,0)</f>
        <v>0</v>
      </c>
      <c r="BR61" s="251">
        <f>IF($AG69=1,V69,0)</f>
        <v>0</v>
      </c>
      <c r="BS61" s="349">
        <f t="shared" si="41"/>
        <v>0</v>
      </c>
      <c r="BT61" s="287">
        <f t="shared" si="42"/>
        <v>0</v>
      </c>
      <c r="BU61" s="356">
        <f t="shared" si="43"/>
      </c>
    </row>
    <row r="62" spans="2:73" ht="15.75">
      <c r="B62" s="33">
        <f t="shared" si="36"/>
        <v>6</v>
      </c>
      <c r="C62" s="236">
        <v>4</v>
      </c>
      <c r="D62" s="314" t="s">
        <v>48</v>
      </c>
      <c r="E62" s="242" t="str">
        <f>VLOOKUP(2,$B$25:$F$28,4,FALSE)</f>
        <v>Mika Tuomola</v>
      </c>
      <c r="F62" s="164" t="str">
        <f>VLOOKUP(2,$B$25:$F$28,5,FALSE)</f>
        <v>PT 75</v>
      </c>
      <c r="G62" s="20">
        <f>T70</f>
        <v>1</v>
      </c>
      <c r="H62" s="107">
        <f>S70</f>
        <v>3</v>
      </c>
      <c r="I62" s="110">
        <f>T68</f>
        <v>2</v>
      </c>
      <c r="J62" s="111">
        <f>S68</f>
        <v>3</v>
      </c>
      <c r="K62" s="107">
        <f>T80</f>
        <v>1</v>
      </c>
      <c r="L62" s="107">
        <f>S80</f>
        <v>3</v>
      </c>
      <c r="M62" s="108"/>
      <c r="N62" s="109"/>
      <c r="O62" s="25">
        <f>S78</f>
        <v>3</v>
      </c>
      <c r="P62" s="25">
        <f>T78</f>
        <v>1</v>
      </c>
      <c r="Q62" s="105">
        <f>S75</f>
        <v>1</v>
      </c>
      <c r="R62" s="17">
        <f>T75</f>
        <v>3</v>
      </c>
      <c r="S62" s="18">
        <f>IF(SUM(G62:R62)=0,0,COUNTIF(N59:N64,"3"))</f>
        <v>1</v>
      </c>
      <c r="T62" s="19">
        <f>IF(SUM(H62:R62)=0,0,COUNTIF(M59:M64,"3"))</f>
        <v>4</v>
      </c>
      <c r="U62" s="407">
        <f t="shared" si="37"/>
        <v>6</v>
      </c>
      <c r="V62" s="408"/>
      <c r="W62" s="217">
        <v>6</v>
      </c>
      <c r="X62" s="366"/>
      <c r="Y62" s="250">
        <f>IF($T70=3,2,IF($W70=1,0,1))</f>
        <v>1</v>
      </c>
      <c r="Z62" s="250">
        <f>IF($T68=3,2,IF($W68=1,0,1))</f>
        <v>1</v>
      </c>
      <c r="AA62" s="250">
        <f>IF($T80=3,2,IF($W80=1,0,1))</f>
        <v>1</v>
      </c>
      <c r="AB62" s="331"/>
      <c r="AC62" s="250">
        <f>IF($S78=3,2,IF($W78=1,0,1))</f>
        <v>2</v>
      </c>
      <c r="AD62" s="250">
        <f>IF($S75=3,2,IF($W75=1,0,1))</f>
        <v>1</v>
      </c>
      <c r="AE62" s="332">
        <f t="shared" si="38"/>
        <v>6</v>
      </c>
      <c r="AG62" s="380"/>
      <c r="AI62" s="250">
        <f>IF($AG70=1,IF($T70=3,2,IF($W70=1,0,1)),"")</f>
      </c>
      <c r="AJ62" s="250">
        <f>IF($AG68=1,IF($T68=3,2,IF($W68=1,0,1)),"")</f>
      </c>
      <c r="AK62" s="250">
        <f>IF($AG80=1,IF($T80=3,2,IF($W80=1,0,1)),"")</f>
      </c>
      <c r="AL62" s="331"/>
      <c r="AM62" s="250">
        <f>IF($AG78=1,IF($S78=3,2,IF($W78=1,0,1)),"")</f>
      </c>
      <c r="AN62" s="250">
        <f>IF($AG75=1,IF($S75=3,2,IF($W75=1,0,1)),"")</f>
      </c>
      <c r="AO62" s="332">
        <f t="shared" si="39"/>
        <v>0</v>
      </c>
      <c r="AQ62" s="279">
        <f>IF($AG70=1,T70,"")</f>
      </c>
      <c r="AR62" s="283">
        <f>IF($AG70=1,S70,"")</f>
      </c>
      <c r="AS62" s="252">
        <f>IF($AG68=1,T68,"")</f>
      </c>
      <c r="AT62" s="252">
        <f>IF($AG68=1,S68,"")</f>
      </c>
      <c r="AU62" s="252">
        <f>IF($AG80=1,T80,"")</f>
      </c>
      <c r="AV62" s="252">
        <f>IF($AG80=1,S80,"")</f>
      </c>
      <c r="AW62" s="248"/>
      <c r="AX62" s="249"/>
      <c r="AY62" s="250">
        <f>IF($AG78=1,S78,"")</f>
      </c>
      <c r="AZ62" s="250">
        <f>IF($AG78=1,T78,"")</f>
      </c>
      <c r="BA62" s="250">
        <f>IF($AG75=1,S75,"")</f>
      </c>
      <c r="BB62" s="250">
        <f>IF($AG75=1,T75,"")</f>
      </c>
      <c r="BC62" s="263">
        <f>IF(SUM(AQ62:BB62)=0,"",SUM(AX59:AX64))</f>
      </c>
      <c r="BD62" s="301">
        <f>IF(SUM(AQ62:BB62)=0,"",SUM(AW59:AW64))</f>
      </c>
      <c r="BE62" s="326">
        <f t="shared" si="40"/>
      </c>
      <c r="BG62" s="307">
        <f>IF($AG70=1,V70,0)</f>
        <v>0</v>
      </c>
      <c r="BH62" s="304">
        <f>IF($AG70=1,U70,0)</f>
        <v>0</v>
      </c>
      <c r="BI62" s="307">
        <f>IF($AG68=1,V68,0)</f>
        <v>0</v>
      </c>
      <c r="BJ62" s="304">
        <f>IF($AG68=1,U68,0)</f>
        <v>0</v>
      </c>
      <c r="BK62" s="307">
        <f>IF($AG80=1,V80,0)</f>
        <v>0</v>
      </c>
      <c r="BL62" s="304">
        <f>IF($AG80=1,U80,0)</f>
        <v>0</v>
      </c>
      <c r="BM62" s="286"/>
      <c r="BN62" s="286"/>
      <c r="BO62" s="306">
        <f>IF($AG78=1,U78,0)</f>
        <v>0</v>
      </c>
      <c r="BP62" s="287">
        <f>IF($AG78=1,V78,0)</f>
        <v>0</v>
      </c>
      <c r="BQ62" s="306">
        <f>IF($AG75=1,U75,0)</f>
        <v>0</v>
      </c>
      <c r="BR62" s="251">
        <f>IF($AG75=1,V75,0)</f>
        <v>0</v>
      </c>
      <c r="BS62" s="349">
        <f t="shared" si="41"/>
        <v>0</v>
      </c>
      <c r="BT62" s="287">
        <f t="shared" si="42"/>
        <v>0</v>
      </c>
      <c r="BU62" s="356">
        <f t="shared" si="43"/>
      </c>
    </row>
    <row r="63" spans="2:73" ht="15.75">
      <c r="B63" s="33">
        <f t="shared" si="36"/>
        <v>4</v>
      </c>
      <c r="C63" s="236">
        <v>5</v>
      </c>
      <c r="D63" s="314" t="s">
        <v>49</v>
      </c>
      <c r="E63" s="242" t="str">
        <f>VLOOKUP(2,$B$8:$F$11,4,FALSE)</f>
        <v>Veikka Flemming</v>
      </c>
      <c r="F63" s="164" t="str">
        <f>VLOOKUP(2,$B$8:$F$11,5,FALSE)</f>
        <v>KoKa</v>
      </c>
      <c r="G63" s="20">
        <f>+T67</f>
        <v>0</v>
      </c>
      <c r="H63" s="107">
        <f>+S67</f>
        <v>3</v>
      </c>
      <c r="I63" s="110">
        <f>T74</f>
        <v>0</v>
      </c>
      <c r="J63" s="111">
        <f>S74</f>
        <v>3</v>
      </c>
      <c r="K63" s="107">
        <f>T72</f>
        <v>3</v>
      </c>
      <c r="L63" s="107">
        <f>S72</f>
        <v>2</v>
      </c>
      <c r="M63" s="110">
        <f>T78</f>
        <v>1</v>
      </c>
      <c r="N63" s="111">
        <f>S78</f>
        <v>3</v>
      </c>
      <c r="O63" s="24"/>
      <c r="P63" s="24"/>
      <c r="Q63" s="105">
        <f>S81</f>
        <v>3</v>
      </c>
      <c r="R63" s="17">
        <f>T81</f>
        <v>1</v>
      </c>
      <c r="S63" s="26">
        <f>IF(SUM(G63:R63)=0,0,COUNTIF(P59:P64,"3"))</f>
        <v>2</v>
      </c>
      <c r="T63" s="19">
        <f>IF(SUM(H63:R63)=0,0,COUNTIF(O59:O64,"3"))</f>
        <v>3</v>
      </c>
      <c r="U63" s="407">
        <f t="shared" si="37"/>
        <v>7</v>
      </c>
      <c r="V63" s="408"/>
      <c r="W63" s="217">
        <v>4</v>
      </c>
      <c r="X63" s="366"/>
      <c r="Y63" s="250">
        <f>IF($T67=3,2,IF($W67=1,0,1))</f>
        <v>1</v>
      </c>
      <c r="Z63" s="250">
        <f>IF($T74=3,2,IF($W74=1,0,1))</f>
        <v>1</v>
      </c>
      <c r="AA63" s="250">
        <f>IF($T72=3,2,IF($W72=1,0,1))</f>
        <v>2</v>
      </c>
      <c r="AB63" s="250">
        <f>IF($T78=3,2,IF($W78=1,0,1))</f>
        <v>1</v>
      </c>
      <c r="AC63" s="331"/>
      <c r="AD63" s="250">
        <f>IF($S81=3,2,IF($W81=1,0,1))</f>
        <v>2</v>
      </c>
      <c r="AE63" s="332">
        <f t="shared" si="38"/>
        <v>7</v>
      </c>
      <c r="AG63" s="380"/>
      <c r="AI63" s="250">
        <f>IF($AG67=1,IF($T67=3,2,IF($W67,0,1)),"")</f>
      </c>
      <c r="AJ63" s="250">
        <f>IF($AG74=1,IF($T74=3,2,IF($W74,0,1)),"")</f>
      </c>
      <c r="AK63" s="250">
        <f>IF($AG72=1,IF($T72=3,2,IF($W73,0,1)),"")</f>
      </c>
      <c r="AL63" s="250">
        <f>IF($AG78=1,IF($T78=3,2,IF($W78,0,1)),"")</f>
      </c>
      <c r="AM63" s="331"/>
      <c r="AN63" s="250">
        <f>IF($AG81=1,IF($S81=3,2,IF($W81=1,0,1)),"")</f>
      </c>
      <c r="AO63" s="332">
        <f t="shared" si="39"/>
        <v>0</v>
      </c>
      <c r="AQ63" s="278">
        <f>IF($AG67=1,T67,"")</f>
      </c>
      <c r="AR63" s="282">
        <f>IF($AG67=1,S67,"")</f>
      </c>
      <c r="AS63" s="250">
        <f>IF($AG74=1,T74,"")</f>
      </c>
      <c r="AT63" s="250">
        <f>IF($AG74=1,S74,"")</f>
      </c>
      <c r="AU63" s="250">
        <f>IF($AG72=1,T72,"")</f>
      </c>
      <c r="AV63" s="250">
        <f>IF($AG72=1,S72,"")</f>
      </c>
      <c r="AW63" s="250">
        <f>IF($AG78=1,T78,"")</f>
      </c>
      <c r="AX63" s="250">
        <f>IF($AG78=1,S78,"")</f>
      </c>
      <c r="AY63" s="248"/>
      <c r="AZ63" s="249"/>
      <c r="BA63" s="250">
        <f>IF($AG81=1,S81,"")</f>
      </c>
      <c r="BB63" s="250">
        <f>IF($AG81=1,T81,"")</f>
      </c>
      <c r="BC63" s="263">
        <f>IF(SUM(AQ63:BB63)=0,"",SUM(AZ59:AZ64))</f>
      </c>
      <c r="BD63" s="301">
        <f>IF(SUM(AQ63:BB63)=0,"",SUM(AY59:AY64))</f>
      </c>
      <c r="BE63" s="326">
        <f t="shared" si="40"/>
      </c>
      <c r="BG63" s="306">
        <f>IF($AG67=1,V67,0)</f>
        <v>0</v>
      </c>
      <c r="BH63" s="287">
        <f>IF($AG67=1,U67,0)</f>
        <v>0</v>
      </c>
      <c r="BI63" s="306">
        <f>IF($AG74=1,V74,0)</f>
        <v>0</v>
      </c>
      <c r="BJ63" s="287">
        <f>IF($AG74=1,U74,0)</f>
        <v>0</v>
      </c>
      <c r="BK63" s="306">
        <f>IF($AG72=1,V72,0)</f>
        <v>0</v>
      </c>
      <c r="BL63" s="287">
        <f>IF($AG72=1,U72,0)</f>
        <v>0</v>
      </c>
      <c r="BM63" s="311">
        <f>IF($AG78=1,V78,0)</f>
        <v>0</v>
      </c>
      <c r="BN63" s="287">
        <f>IF($AG78=1,U78,0)</f>
        <v>0</v>
      </c>
      <c r="BO63" s="291"/>
      <c r="BP63" s="286"/>
      <c r="BQ63" s="306">
        <f>IF($AG81=1,U81,0)</f>
        <v>0</v>
      </c>
      <c r="BR63" s="251">
        <f>IF($AG81=1,V81,0)</f>
        <v>0</v>
      </c>
      <c r="BS63" s="349">
        <f t="shared" si="41"/>
        <v>0</v>
      </c>
      <c r="BT63" s="287">
        <f t="shared" si="42"/>
        <v>0</v>
      </c>
      <c r="BU63" s="356">
        <f t="shared" si="43"/>
      </c>
    </row>
    <row r="64" spans="2:73" ht="16.5" thickBot="1">
      <c r="B64" s="33">
        <f t="shared" si="36"/>
        <v>5</v>
      </c>
      <c r="C64" s="48">
        <v>6</v>
      </c>
      <c r="D64" s="315" t="s">
        <v>50</v>
      </c>
      <c r="E64" s="166" t="str">
        <f>VLOOKUP(2,$B$42:$F$45,4,FALSE)</f>
        <v>Jussi Mäkelä</v>
      </c>
      <c r="F64" s="165" t="str">
        <f>VLOOKUP(2,$B$42:$F$45,5,FALSE)</f>
        <v>TIP-70</v>
      </c>
      <c r="G64" s="112">
        <f>T76</f>
        <v>0</v>
      </c>
      <c r="H64" s="113">
        <f>S76</f>
        <v>3</v>
      </c>
      <c r="I64" s="114">
        <f>T71</f>
        <v>0</v>
      </c>
      <c r="J64" s="115">
        <f>S71</f>
        <v>3</v>
      </c>
      <c r="K64" s="113">
        <f>T69</f>
        <v>2</v>
      </c>
      <c r="L64" s="113">
        <f>S69</f>
        <v>3</v>
      </c>
      <c r="M64" s="114">
        <f>T75</f>
        <v>3</v>
      </c>
      <c r="N64" s="115">
        <f>S75</f>
        <v>1</v>
      </c>
      <c r="O64" s="113">
        <f>T81</f>
        <v>1</v>
      </c>
      <c r="P64" s="113">
        <f>S81</f>
        <v>3</v>
      </c>
      <c r="Q64" s="116"/>
      <c r="R64" s="161"/>
      <c r="S64" s="162">
        <f>IF(SUM(G64:R64)=0,0,COUNTIF(R59:R64,"3"))</f>
        <v>1</v>
      </c>
      <c r="T64" s="163">
        <f>IF(SUM(H64:S64)=0,0,COUNTIF(Q59:Q64,"3"))</f>
        <v>4</v>
      </c>
      <c r="U64" s="424">
        <f t="shared" si="37"/>
        <v>6</v>
      </c>
      <c r="V64" s="425"/>
      <c r="W64" s="218">
        <v>5</v>
      </c>
      <c r="X64" s="366"/>
      <c r="Y64" s="250">
        <f>IF($T76=3,2,IF($W76=1,0,1))</f>
        <v>1</v>
      </c>
      <c r="Z64" s="250">
        <f>IF($T71=3,2,IF($W71=1,0,1))</f>
        <v>1</v>
      </c>
      <c r="AA64" s="250">
        <f>IF($T69=3,2,IF($W69=1,0,1))</f>
        <v>1</v>
      </c>
      <c r="AB64" s="250">
        <f>IF($T75=3,2,IF($W75=1,0,1))</f>
        <v>2</v>
      </c>
      <c r="AC64" s="250">
        <f>IF($T81=3,2,IF($W81=1,0,1))</f>
        <v>1</v>
      </c>
      <c r="AD64" s="331"/>
      <c r="AE64" s="332">
        <f t="shared" si="38"/>
        <v>6</v>
      </c>
      <c r="AG64" s="380"/>
      <c r="AI64" s="250">
        <f>IF($AG76=1,IF($T76=3,2,IF($W76=1,0,1)),"")</f>
      </c>
      <c r="AJ64" s="250">
        <f>IF($AG71=1,IF($T71=3,2,IF($W71,0,1)),"")</f>
      </c>
      <c r="AK64" s="250">
        <f>IF($AG69=1,IF($T69=3,2,IF($W69,0,1)),"")</f>
      </c>
      <c r="AL64" s="250">
        <f>IF($AG75=1,IF($T75=3,2,IF($W75,0,1)),"")</f>
      </c>
      <c r="AM64" s="250">
        <f>IF($AG81=1,IF($T81=3,2,IF($W81,0,1)),"")</f>
      </c>
      <c r="AN64" s="331"/>
      <c r="AO64" s="332">
        <f t="shared" si="39"/>
        <v>0</v>
      </c>
      <c r="AQ64" s="280">
        <f>IF($AG76=1,T76,"")</f>
      </c>
      <c r="AR64" s="284">
        <f>IF($AG76=1,S76,"")</f>
      </c>
      <c r="AS64" s="264">
        <f>IF($AG71=1,T71,"")</f>
      </c>
      <c r="AT64" s="264">
        <f>IF($AG71=1,S71,"")</f>
      </c>
      <c r="AU64" s="264">
        <f>IF($AG69=1,T69,"")</f>
      </c>
      <c r="AV64" s="264">
        <f>IF($AG69=1,S69,"")</f>
      </c>
      <c r="AW64" s="264">
        <f>IF($AG75=1,T75,"")</f>
      </c>
      <c r="AX64" s="264">
        <f>IF($AG75=1,S75,"")</f>
      </c>
      <c r="AY64" s="264">
        <f>IF($AG81=1,T81,"")</f>
      </c>
      <c r="AZ64" s="264">
        <f>IF($AG81=1,S81,"")</f>
      </c>
      <c r="BA64" s="265"/>
      <c r="BB64" s="266"/>
      <c r="BC64" s="285">
        <f>IF(SUM(AQ64:BB64)=0,"",SUM(BB59:BB64))</f>
      </c>
      <c r="BD64" s="303">
        <f>IF(SUM(AQ64:BB64)=0,"",SUM(BA59:BA64))</f>
      </c>
      <c r="BE64" s="326">
        <f t="shared" si="40"/>
      </c>
      <c r="BG64" s="308">
        <f>IF($AG76=1,V76,0)</f>
        <v>0</v>
      </c>
      <c r="BH64" s="305">
        <f>IF($AG76=1,U76,0)</f>
        <v>0</v>
      </c>
      <c r="BI64" s="308">
        <f>IF($AG71=1,V71,0)</f>
        <v>0</v>
      </c>
      <c r="BJ64" s="305">
        <f>IF($AG71=1,U71,0)</f>
        <v>0</v>
      </c>
      <c r="BK64" s="308">
        <f>IF($AG69=1,V69,0)</f>
        <v>0</v>
      </c>
      <c r="BL64" s="305">
        <f>IF($AG69=1,U69,0)</f>
        <v>0</v>
      </c>
      <c r="BM64" s="312">
        <f>IF($AG75=1,V75,0)</f>
        <v>0</v>
      </c>
      <c r="BN64" s="305">
        <f>IF($AG75=1,U75,0)</f>
        <v>0</v>
      </c>
      <c r="BO64" s="313">
        <f>IF($AG81=1,V81,0)</f>
        <v>0</v>
      </c>
      <c r="BP64" s="288">
        <f>IF($AG81=1,U81,0)</f>
        <v>0</v>
      </c>
      <c r="BQ64" s="293"/>
      <c r="BR64" s="294"/>
      <c r="BS64" s="350">
        <f t="shared" si="41"/>
        <v>0</v>
      </c>
      <c r="BT64" s="288">
        <f t="shared" si="42"/>
        <v>0</v>
      </c>
      <c r="BU64" s="357">
        <f t="shared" si="43"/>
      </c>
    </row>
    <row r="65" spans="3:31" ht="15">
      <c r="C65" s="52"/>
      <c r="D65" s="228"/>
      <c r="E65" s="67" t="s">
        <v>67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79"/>
      <c r="X65" s="367"/>
      <c r="Y65" s="367"/>
      <c r="Z65" s="367"/>
      <c r="AA65" s="367"/>
      <c r="AB65" s="367"/>
      <c r="AC65" s="367"/>
      <c r="AD65" s="367"/>
      <c r="AE65" s="327"/>
    </row>
    <row r="66" spans="3:33" ht="15.75" thickBot="1">
      <c r="C66" s="48"/>
      <c r="D66" s="234"/>
      <c r="E66" s="66" t="s">
        <v>14</v>
      </c>
      <c r="F66" s="1"/>
      <c r="G66" s="1"/>
      <c r="H66" s="2"/>
      <c r="I66" s="428" t="s">
        <v>15</v>
      </c>
      <c r="J66" s="419"/>
      <c r="K66" s="418" t="s">
        <v>16</v>
      </c>
      <c r="L66" s="419"/>
      <c r="M66" s="418" t="s">
        <v>17</v>
      </c>
      <c r="N66" s="419"/>
      <c r="O66" s="418" t="s">
        <v>18</v>
      </c>
      <c r="P66" s="429"/>
      <c r="Q66" s="418" t="s">
        <v>19</v>
      </c>
      <c r="R66" s="419"/>
      <c r="S66" s="463" t="s">
        <v>20</v>
      </c>
      <c r="T66" s="464"/>
      <c r="U66" s="444" t="s">
        <v>13</v>
      </c>
      <c r="V66" s="445"/>
      <c r="W66" s="377" t="s">
        <v>70</v>
      </c>
      <c r="X66" s="250" t="s">
        <v>80</v>
      </c>
      <c r="Y66" s="250" t="s">
        <v>81</v>
      </c>
      <c r="Z66" s="361"/>
      <c r="AA66" s="361"/>
      <c r="AB66" s="361"/>
      <c r="AC66" s="361"/>
      <c r="AD66" s="361"/>
      <c r="AE66" s="327"/>
      <c r="AF66" s="13"/>
      <c r="AG66" s="13"/>
    </row>
    <row r="67" spans="3:44" ht="15">
      <c r="C67" s="53" t="s">
        <v>29</v>
      </c>
      <c r="D67" s="229"/>
      <c r="E67" s="81" t="str">
        <f>IF(E59&gt;0,E59,0)</f>
        <v>Jani Jormanainen</v>
      </c>
      <c r="F67" s="76" t="str">
        <f>IF(E63&gt;0,E63,0)</f>
        <v>Veikka Flemming</v>
      </c>
      <c r="G67" s="3"/>
      <c r="H67" s="4"/>
      <c r="I67" s="426">
        <v>6</v>
      </c>
      <c r="J67" s="430"/>
      <c r="K67" s="426">
        <v>7</v>
      </c>
      <c r="L67" s="430"/>
      <c r="M67" s="431">
        <v>9</v>
      </c>
      <c r="N67" s="430"/>
      <c r="O67" s="426"/>
      <c r="P67" s="430"/>
      <c r="Q67" s="426"/>
      <c r="R67" s="427"/>
      <c r="S67" s="219">
        <f aca="true" t="shared" si="44" ref="S67:S81">IF(COUNT(I67:Q67)=0,0,COUNTIF(I67:Q67,"&gt;=0"))</f>
        <v>3</v>
      </c>
      <c r="T67" s="222">
        <f aca="true" t="shared" si="45" ref="T67:T81">IF(COUNTA(I67:Q67)=0,0,(IF(LEFT(I67,1)="-",1,0)+IF(LEFT(K67,1)="-",1,0)+IF(LEFT(M67,1)="-",1,0)+IF(LEFT(O67,1)="-",1,0)+IF(LEFT(Q67,1)="-",1,0)))</f>
        <v>0</v>
      </c>
      <c r="U67" s="186">
        <f>+AI67+AK67+AM67+AO67+AQ67</f>
        <v>33</v>
      </c>
      <c r="V67" s="187">
        <f>+AJ67+AL67+AN67+AP67+AR67</f>
        <v>22</v>
      </c>
      <c r="W67" s="380"/>
      <c r="X67" s="397"/>
      <c r="Y67" s="397"/>
      <c r="Z67" s="361"/>
      <c r="AA67" s="361"/>
      <c r="AB67" s="361"/>
      <c r="AC67" s="361"/>
      <c r="AD67" s="361"/>
      <c r="AE67" s="327"/>
      <c r="AG67" s="253">
        <f>IF(AND(AG59=1,AG63=1),1,"")</f>
      </c>
      <c r="AH67" s="247"/>
      <c r="AI67" s="6">
        <f aca="true" t="shared" si="46" ref="AI67:AI81">IF(I67="",0,IF(LEFT(I67,1)="-",ABS(I67),(IF(I67&gt;9,I67+2,11))))</f>
        <v>11</v>
      </c>
      <c r="AJ67" s="7">
        <f aca="true" t="shared" si="47" ref="AJ67:AJ81">IF(I67="",0,IF(LEFT(I67,1)="-",(IF(ABS(I67)&gt;9,(ABS(I67)+2),11)),I67))</f>
        <v>6</v>
      </c>
      <c r="AK67" s="6">
        <f aca="true" t="shared" si="48" ref="AK67:AK81">IF(K67="",0,IF(LEFT(K67,1)="-",ABS(K67),(IF(K67&gt;9,K67+2,11))))</f>
        <v>11</v>
      </c>
      <c r="AL67" s="7">
        <f aca="true" t="shared" si="49" ref="AL67:AL81">IF(K67="",0,IF(LEFT(K67,1)="-",(IF(ABS(K67)&gt;9,(ABS(K67)+2),11)),K67))</f>
        <v>7</v>
      </c>
      <c r="AM67" s="6">
        <f aca="true" t="shared" si="50" ref="AM67:AM81">IF(M67="",0,IF(LEFT(M67,1)="-",ABS(M67),(IF(M67&gt;9,M67+2,11))))</f>
        <v>11</v>
      </c>
      <c r="AN67" s="7">
        <f aca="true" t="shared" si="51" ref="AN67:AN81">IF(M67="",0,IF(LEFT(M67,1)="-",(IF(ABS(M67)&gt;9,(ABS(M67)+2),11)),M67))</f>
        <v>9</v>
      </c>
      <c r="AO67" s="6">
        <f aca="true" t="shared" si="52" ref="AO67:AO81">IF(O67="",0,IF(LEFT(O67,1)="-",ABS(O67),(IF(O67&gt;9,O67+2,11))))</f>
        <v>0</v>
      </c>
      <c r="AP67" s="7">
        <f aca="true" t="shared" si="53" ref="AP67:AP81">IF(O67="",0,IF(LEFT(O67,1)="-",(IF(ABS(O67)&gt;9,(ABS(O67)+2),11)),O67))</f>
        <v>0</v>
      </c>
      <c r="AQ67" s="6">
        <f aca="true" t="shared" si="54" ref="AQ67:AQ81">IF(Q67="",0,IF(LEFT(Q67,1)="-",ABS(Q67),(IF(Q67&gt;9,Q67+2,11))))</f>
        <v>0</v>
      </c>
      <c r="AR67" s="7">
        <f aca="true" t="shared" si="55" ref="AR67:AR81">IF(Q67="",0,IF(LEFT(Q67,1)="-",(IF(ABS(Q67)&gt;9,(ABS(Q67)+2),11)),Q67))</f>
        <v>0</v>
      </c>
    </row>
    <row r="68" spans="3:44" ht="15">
      <c r="C68" s="53" t="s">
        <v>22</v>
      </c>
      <c r="D68" s="229"/>
      <c r="E68" s="82" t="str">
        <f>IF(E60&gt;0,E60,0)</f>
        <v>Alex Naumi</v>
      </c>
      <c r="F68" s="76" t="str">
        <f>IF(E62&gt;0,E62,0)</f>
        <v>Mika Tuomola</v>
      </c>
      <c r="G68" s="8"/>
      <c r="H68" s="4"/>
      <c r="I68" s="416">
        <v>-11</v>
      </c>
      <c r="J68" s="417"/>
      <c r="K68" s="416">
        <v>6</v>
      </c>
      <c r="L68" s="417"/>
      <c r="M68" s="416">
        <v>-6</v>
      </c>
      <c r="N68" s="417"/>
      <c r="O68" s="416">
        <v>2</v>
      </c>
      <c r="P68" s="417"/>
      <c r="Q68" s="416">
        <v>6</v>
      </c>
      <c r="R68" s="420"/>
      <c r="S68" s="220">
        <f t="shared" si="44"/>
        <v>3</v>
      </c>
      <c r="T68" s="223">
        <f t="shared" si="45"/>
        <v>2</v>
      </c>
      <c r="U68" s="188">
        <f aca="true" t="shared" si="56" ref="U68:V81">+AI68+AK68+AM68+AO68+AQ68</f>
        <v>50</v>
      </c>
      <c r="V68" s="27">
        <f t="shared" si="56"/>
        <v>38</v>
      </c>
      <c r="W68" s="380"/>
      <c r="X68" s="397"/>
      <c r="Y68" s="397"/>
      <c r="Z68" s="361"/>
      <c r="AA68" s="361"/>
      <c r="AB68" s="361"/>
      <c r="AC68" s="361"/>
      <c r="AD68" s="361"/>
      <c r="AE68" s="327"/>
      <c r="AG68" s="253">
        <f>IF(AND(AG60=1,AG62=1),1,"")</f>
      </c>
      <c r="AH68" s="247"/>
      <c r="AI68" s="9">
        <f t="shared" si="46"/>
        <v>11</v>
      </c>
      <c r="AJ68" s="10">
        <f t="shared" si="47"/>
        <v>13</v>
      </c>
      <c r="AK68" s="9">
        <f t="shared" si="48"/>
        <v>11</v>
      </c>
      <c r="AL68" s="10">
        <f t="shared" si="49"/>
        <v>6</v>
      </c>
      <c r="AM68" s="9">
        <f t="shared" si="50"/>
        <v>6</v>
      </c>
      <c r="AN68" s="10">
        <f t="shared" si="51"/>
        <v>11</v>
      </c>
      <c r="AO68" s="9">
        <f t="shared" si="52"/>
        <v>11</v>
      </c>
      <c r="AP68" s="10">
        <f t="shared" si="53"/>
        <v>2</v>
      </c>
      <c r="AQ68" s="9">
        <f t="shared" si="54"/>
        <v>11</v>
      </c>
      <c r="AR68" s="10">
        <f t="shared" si="55"/>
        <v>6</v>
      </c>
    </row>
    <row r="69" spans="3:44" ht="15.75" thickBot="1">
      <c r="C69" s="56" t="s">
        <v>30</v>
      </c>
      <c r="D69" s="230"/>
      <c r="E69" s="84" t="str">
        <f>IF(E61&gt;0,E61,0)</f>
        <v>Chau Dinh Huy</v>
      </c>
      <c r="F69" s="78" t="str">
        <f>IF(E64&gt;0,E64,0)</f>
        <v>Jussi Mäkelä</v>
      </c>
      <c r="G69" s="1"/>
      <c r="H69" s="28"/>
      <c r="I69" s="421">
        <v>-3</v>
      </c>
      <c r="J69" s="456"/>
      <c r="K69" s="421">
        <v>6</v>
      </c>
      <c r="L69" s="456"/>
      <c r="M69" s="421">
        <v>-3</v>
      </c>
      <c r="N69" s="456"/>
      <c r="O69" s="421">
        <v>6</v>
      </c>
      <c r="P69" s="456"/>
      <c r="Q69" s="421">
        <v>8</v>
      </c>
      <c r="R69" s="457"/>
      <c r="S69" s="221">
        <f t="shared" si="44"/>
        <v>3</v>
      </c>
      <c r="T69" s="224">
        <f t="shared" si="45"/>
        <v>2</v>
      </c>
      <c r="U69" s="189">
        <f t="shared" si="56"/>
        <v>39</v>
      </c>
      <c r="V69" s="159">
        <f t="shared" si="56"/>
        <v>42</v>
      </c>
      <c r="W69" s="380"/>
      <c r="X69" s="397"/>
      <c r="Y69" s="397"/>
      <c r="Z69" s="361"/>
      <c r="AA69" s="361"/>
      <c r="AB69" s="361"/>
      <c r="AC69" s="361"/>
      <c r="AD69" s="361"/>
      <c r="AE69" s="327"/>
      <c r="AG69" s="253">
        <f>IF(AND(AG61=1,AG64=1),1,"")</f>
      </c>
      <c r="AH69" s="247"/>
      <c r="AI69" s="9">
        <f t="shared" si="46"/>
        <v>3</v>
      </c>
      <c r="AJ69" s="10">
        <f t="shared" si="47"/>
        <v>11</v>
      </c>
      <c r="AK69" s="9">
        <f t="shared" si="48"/>
        <v>11</v>
      </c>
      <c r="AL69" s="10">
        <f t="shared" si="49"/>
        <v>6</v>
      </c>
      <c r="AM69" s="9">
        <f t="shared" si="50"/>
        <v>3</v>
      </c>
      <c r="AN69" s="10">
        <f t="shared" si="51"/>
        <v>11</v>
      </c>
      <c r="AO69" s="9">
        <f t="shared" si="52"/>
        <v>11</v>
      </c>
      <c r="AP69" s="10">
        <f t="shared" si="53"/>
        <v>6</v>
      </c>
      <c r="AQ69" s="9">
        <f t="shared" si="54"/>
        <v>11</v>
      </c>
      <c r="AR69" s="10">
        <f t="shared" si="55"/>
        <v>8</v>
      </c>
    </row>
    <row r="70" spans="3:44" ht="15">
      <c r="C70" s="53" t="s">
        <v>23</v>
      </c>
      <c r="D70" s="229"/>
      <c r="E70" s="82" t="str">
        <f>IF(E59&gt;0,E59,0)</f>
        <v>Jani Jormanainen</v>
      </c>
      <c r="F70" s="76" t="str">
        <f>IF(E62&gt;0,E62,0)</f>
        <v>Mika Tuomola</v>
      </c>
      <c r="G70" s="3"/>
      <c r="H70" s="4"/>
      <c r="I70" s="405">
        <v>-7</v>
      </c>
      <c r="J70" s="410"/>
      <c r="K70" s="405">
        <v>5</v>
      </c>
      <c r="L70" s="410"/>
      <c r="M70" s="405">
        <v>6</v>
      </c>
      <c r="N70" s="410"/>
      <c r="O70" s="405">
        <v>10</v>
      </c>
      <c r="P70" s="410"/>
      <c r="Q70" s="405"/>
      <c r="R70" s="406"/>
      <c r="S70" s="219">
        <f t="shared" si="44"/>
        <v>3</v>
      </c>
      <c r="T70" s="222">
        <f t="shared" si="45"/>
        <v>1</v>
      </c>
      <c r="U70" s="177">
        <f t="shared" si="56"/>
        <v>41</v>
      </c>
      <c r="V70" s="178">
        <f t="shared" si="56"/>
        <v>32</v>
      </c>
      <c r="W70" s="380"/>
      <c r="X70" s="397"/>
      <c r="Y70" s="397"/>
      <c r="Z70" s="361"/>
      <c r="AA70" s="361"/>
      <c r="AB70" s="361"/>
      <c r="AC70" s="361"/>
      <c r="AD70" s="361"/>
      <c r="AE70" s="327"/>
      <c r="AG70" s="253">
        <f>IF(AND(AG59=1,AG62=1),1,"")</f>
      </c>
      <c r="AH70" s="247"/>
      <c r="AI70" s="9">
        <f t="shared" si="46"/>
        <v>7</v>
      </c>
      <c r="AJ70" s="10">
        <f t="shared" si="47"/>
        <v>11</v>
      </c>
      <c r="AK70" s="9">
        <f t="shared" si="48"/>
        <v>11</v>
      </c>
      <c r="AL70" s="10">
        <f t="shared" si="49"/>
        <v>5</v>
      </c>
      <c r="AM70" s="9">
        <f t="shared" si="50"/>
        <v>11</v>
      </c>
      <c r="AN70" s="10">
        <f t="shared" si="51"/>
        <v>6</v>
      </c>
      <c r="AO70" s="9">
        <f t="shared" si="52"/>
        <v>12</v>
      </c>
      <c r="AP70" s="10">
        <f t="shared" si="53"/>
        <v>10</v>
      </c>
      <c r="AQ70" s="9">
        <f t="shared" si="54"/>
        <v>0</v>
      </c>
      <c r="AR70" s="10">
        <f t="shared" si="55"/>
        <v>0</v>
      </c>
    </row>
    <row r="71" spans="3:44" ht="15">
      <c r="C71" s="53" t="s">
        <v>31</v>
      </c>
      <c r="D71" s="229"/>
      <c r="E71" s="82" t="str">
        <f>IF(E60&gt;0,E60,0)</f>
        <v>Alex Naumi</v>
      </c>
      <c r="F71" s="76" t="str">
        <f>IF(E64&gt;0,E64,0)</f>
        <v>Jussi Mäkelä</v>
      </c>
      <c r="G71" s="8"/>
      <c r="H71" s="4"/>
      <c r="I71" s="413">
        <v>6</v>
      </c>
      <c r="J71" s="414"/>
      <c r="K71" s="413">
        <v>11</v>
      </c>
      <c r="L71" s="414"/>
      <c r="M71" s="413">
        <v>5</v>
      </c>
      <c r="N71" s="414"/>
      <c r="O71" s="398"/>
      <c r="P71" s="409"/>
      <c r="Q71" s="398"/>
      <c r="R71" s="399"/>
      <c r="S71" s="220">
        <f t="shared" si="44"/>
        <v>3</v>
      </c>
      <c r="T71" s="223">
        <f t="shared" si="45"/>
        <v>0</v>
      </c>
      <c r="U71" s="31">
        <f t="shared" si="56"/>
        <v>35</v>
      </c>
      <c r="V71" s="27">
        <f t="shared" si="56"/>
        <v>22</v>
      </c>
      <c r="W71" s="380"/>
      <c r="X71" s="397"/>
      <c r="Y71" s="397"/>
      <c r="Z71" s="361"/>
      <c r="AA71" s="361"/>
      <c r="AB71" s="361"/>
      <c r="AC71" s="361"/>
      <c r="AD71" s="361"/>
      <c r="AE71" s="327"/>
      <c r="AG71" s="253">
        <f>IF(AND(AG60=1,AG64=1),1,"")</f>
      </c>
      <c r="AH71" s="247"/>
      <c r="AI71" s="9">
        <f t="shared" si="46"/>
        <v>11</v>
      </c>
      <c r="AJ71" s="10">
        <f t="shared" si="47"/>
        <v>6</v>
      </c>
      <c r="AK71" s="9">
        <f t="shared" si="48"/>
        <v>13</v>
      </c>
      <c r="AL71" s="10">
        <f t="shared" si="49"/>
        <v>11</v>
      </c>
      <c r="AM71" s="9">
        <f t="shared" si="50"/>
        <v>11</v>
      </c>
      <c r="AN71" s="10">
        <f t="shared" si="51"/>
        <v>5</v>
      </c>
      <c r="AO71" s="9">
        <f t="shared" si="52"/>
        <v>0</v>
      </c>
      <c r="AP71" s="10">
        <f t="shared" si="53"/>
        <v>0</v>
      </c>
      <c r="AQ71" s="9">
        <f t="shared" si="54"/>
        <v>0</v>
      </c>
      <c r="AR71" s="10">
        <f t="shared" si="55"/>
        <v>0</v>
      </c>
    </row>
    <row r="72" spans="3:44" ht="15.75" thickBot="1">
      <c r="C72" s="56" t="s">
        <v>32</v>
      </c>
      <c r="D72" s="230"/>
      <c r="E72" s="84" t="str">
        <f>IF(E61&gt;0,E61,0)</f>
        <v>Chau Dinh Huy</v>
      </c>
      <c r="F72" s="78" t="str">
        <f>IF(E63&gt;0,E63,0)</f>
        <v>Veikka Flemming</v>
      </c>
      <c r="G72" s="1"/>
      <c r="H72" s="28"/>
      <c r="I72" s="400">
        <v>7</v>
      </c>
      <c r="J72" s="402"/>
      <c r="K72" s="400">
        <v>-6</v>
      </c>
      <c r="L72" s="402"/>
      <c r="M72" s="400">
        <v>7</v>
      </c>
      <c r="N72" s="402"/>
      <c r="O72" s="400">
        <v>-8</v>
      </c>
      <c r="P72" s="402"/>
      <c r="Q72" s="400">
        <v>-11</v>
      </c>
      <c r="R72" s="401"/>
      <c r="S72" s="221">
        <f t="shared" si="44"/>
        <v>2</v>
      </c>
      <c r="T72" s="224">
        <f t="shared" si="45"/>
        <v>3</v>
      </c>
      <c r="U72" s="184">
        <f t="shared" si="56"/>
        <v>47</v>
      </c>
      <c r="V72" s="185">
        <f t="shared" si="56"/>
        <v>49</v>
      </c>
      <c r="W72" s="380"/>
      <c r="X72" s="397"/>
      <c r="Y72" s="397"/>
      <c r="Z72" s="361"/>
      <c r="AA72" s="361"/>
      <c r="AB72" s="361"/>
      <c r="AC72" s="361"/>
      <c r="AD72" s="361"/>
      <c r="AE72" s="327"/>
      <c r="AG72" s="253">
        <f>IF(AND(AG61=1,AG63=1),1,"")</f>
      </c>
      <c r="AH72" s="247"/>
      <c r="AI72" s="11">
        <f t="shared" si="46"/>
        <v>11</v>
      </c>
      <c r="AJ72" s="12">
        <f t="shared" si="47"/>
        <v>7</v>
      </c>
      <c r="AK72" s="11">
        <f t="shared" si="48"/>
        <v>6</v>
      </c>
      <c r="AL72" s="12">
        <f t="shared" si="49"/>
        <v>11</v>
      </c>
      <c r="AM72" s="11">
        <f t="shared" si="50"/>
        <v>11</v>
      </c>
      <c r="AN72" s="12">
        <f t="shared" si="51"/>
        <v>7</v>
      </c>
      <c r="AO72" s="11">
        <f t="shared" si="52"/>
        <v>8</v>
      </c>
      <c r="AP72" s="12">
        <f t="shared" si="53"/>
        <v>11</v>
      </c>
      <c r="AQ72" s="11">
        <f t="shared" si="54"/>
        <v>11</v>
      </c>
      <c r="AR72" s="12">
        <f t="shared" si="55"/>
        <v>13</v>
      </c>
    </row>
    <row r="73" spans="3:44" ht="15">
      <c r="C73" s="53" t="s">
        <v>21</v>
      </c>
      <c r="D73" s="229"/>
      <c r="E73" s="82" t="str">
        <f>IF(E59&gt;0,E59,0)</f>
        <v>Jani Jormanainen</v>
      </c>
      <c r="F73" s="76" t="str">
        <f>IF(E61&gt;0,E61,0)</f>
        <v>Chau Dinh Huy</v>
      </c>
      <c r="G73" s="3"/>
      <c r="H73" s="4"/>
      <c r="I73" s="405">
        <v>9</v>
      </c>
      <c r="J73" s="410"/>
      <c r="K73" s="405">
        <v>7</v>
      </c>
      <c r="L73" s="410"/>
      <c r="M73" s="405">
        <v>4</v>
      </c>
      <c r="N73" s="410"/>
      <c r="O73" s="405"/>
      <c r="P73" s="410"/>
      <c r="Q73" s="405"/>
      <c r="R73" s="406"/>
      <c r="S73" s="219">
        <f t="shared" si="44"/>
        <v>3</v>
      </c>
      <c r="T73" s="222">
        <f t="shared" si="45"/>
        <v>0</v>
      </c>
      <c r="U73" s="186">
        <f t="shared" si="56"/>
        <v>33</v>
      </c>
      <c r="V73" s="187">
        <f t="shared" si="56"/>
        <v>20</v>
      </c>
      <c r="W73" s="380"/>
      <c r="X73" s="397"/>
      <c r="Y73" s="397"/>
      <c r="Z73" s="361"/>
      <c r="AA73" s="361"/>
      <c r="AB73" s="361"/>
      <c r="AC73" s="361"/>
      <c r="AD73" s="361"/>
      <c r="AE73" s="327"/>
      <c r="AG73" s="253">
        <f>IF(AND(AG59=1,AG61=1),1,"")</f>
      </c>
      <c r="AH73" s="247"/>
      <c r="AI73" s="6">
        <f t="shared" si="46"/>
        <v>11</v>
      </c>
      <c r="AJ73" s="7">
        <f t="shared" si="47"/>
        <v>9</v>
      </c>
      <c r="AK73" s="6">
        <f t="shared" si="48"/>
        <v>11</v>
      </c>
      <c r="AL73" s="7">
        <f t="shared" si="49"/>
        <v>7</v>
      </c>
      <c r="AM73" s="6">
        <f t="shared" si="50"/>
        <v>11</v>
      </c>
      <c r="AN73" s="7">
        <f t="shared" si="51"/>
        <v>4</v>
      </c>
      <c r="AO73" s="6">
        <f t="shared" si="52"/>
        <v>0</v>
      </c>
      <c r="AP73" s="7">
        <f t="shared" si="53"/>
        <v>0</v>
      </c>
      <c r="AQ73" s="6">
        <f t="shared" si="54"/>
        <v>0</v>
      </c>
      <c r="AR73" s="7">
        <f t="shared" si="55"/>
        <v>0</v>
      </c>
    </row>
    <row r="74" spans="3:44" ht="15">
      <c r="C74" s="53" t="s">
        <v>33</v>
      </c>
      <c r="D74" s="229"/>
      <c r="E74" s="82" t="str">
        <f>IF(E60&gt;0,E60,0)</f>
        <v>Alex Naumi</v>
      </c>
      <c r="F74" s="76" t="str">
        <f>IF(E63&gt;0,E63,0)</f>
        <v>Veikka Flemming</v>
      </c>
      <c r="G74" s="8"/>
      <c r="H74" s="4"/>
      <c r="I74" s="413">
        <v>4</v>
      </c>
      <c r="J74" s="414"/>
      <c r="K74" s="413">
        <v>12</v>
      </c>
      <c r="L74" s="414"/>
      <c r="M74" s="413">
        <v>8</v>
      </c>
      <c r="N74" s="414"/>
      <c r="O74" s="398"/>
      <c r="P74" s="409"/>
      <c r="Q74" s="398"/>
      <c r="R74" s="399"/>
      <c r="S74" s="220">
        <f t="shared" si="44"/>
        <v>3</v>
      </c>
      <c r="T74" s="223">
        <f t="shared" si="45"/>
        <v>0</v>
      </c>
      <c r="U74" s="188">
        <f t="shared" si="56"/>
        <v>36</v>
      </c>
      <c r="V74" s="27">
        <f t="shared" si="56"/>
        <v>24</v>
      </c>
      <c r="W74" s="380"/>
      <c r="X74" s="397"/>
      <c r="Y74" s="397"/>
      <c r="Z74" s="361"/>
      <c r="AA74" s="361"/>
      <c r="AB74" s="361"/>
      <c r="AC74" s="361"/>
      <c r="AD74" s="361"/>
      <c r="AE74" s="327"/>
      <c r="AG74" s="253">
        <f>IF(AND(AG60=1,AG63=1),1,"")</f>
      </c>
      <c r="AH74" s="247"/>
      <c r="AI74" s="9">
        <f t="shared" si="46"/>
        <v>11</v>
      </c>
      <c r="AJ74" s="10">
        <f t="shared" si="47"/>
        <v>4</v>
      </c>
      <c r="AK74" s="9">
        <f t="shared" si="48"/>
        <v>14</v>
      </c>
      <c r="AL74" s="10">
        <f t="shared" si="49"/>
        <v>12</v>
      </c>
      <c r="AM74" s="9">
        <f t="shared" si="50"/>
        <v>11</v>
      </c>
      <c r="AN74" s="10">
        <f t="shared" si="51"/>
        <v>8</v>
      </c>
      <c r="AO74" s="9">
        <f t="shared" si="52"/>
        <v>0</v>
      </c>
      <c r="AP74" s="10">
        <f t="shared" si="53"/>
        <v>0</v>
      </c>
      <c r="AQ74" s="9">
        <f t="shared" si="54"/>
        <v>0</v>
      </c>
      <c r="AR74" s="10">
        <f t="shared" si="55"/>
        <v>0</v>
      </c>
    </row>
    <row r="75" spans="3:44" ht="15.75" thickBot="1">
      <c r="C75" s="56" t="s">
        <v>34</v>
      </c>
      <c r="D75" s="230"/>
      <c r="E75" s="84" t="str">
        <f>IF(E62&gt;0,E62,0)</f>
        <v>Mika Tuomola</v>
      </c>
      <c r="F75" s="78" t="str">
        <f>IF(E64&gt;0,E64,0)</f>
        <v>Jussi Mäkelä</v>
      </c>
      <c r="G75" s="1"/>
      <c r="H75" s="28"/>
      <c r="I75" s="400">
        <v>-6</v>
      </c>
      <c r="J75" s="402"/>
      <c r="K75" s="400">
        <v>-7</v>
      </c>
      <c r="L75" s="402"/>
      <c r="M75" s="400">
        <v>8</v>
      </c>
      <c r="N75" s="402"/>
      <c r="O75" s="400">
        <v>-8</v>
      </c>
      <c r="P75" s="402"/>
      <c r="Q75" s="400"/>
      <c r="R75" s="401"/>
      <c r="S75" s="221">
        <f t="shared" si="44"/>
        <v>1</v>
      </c>
      <c r="T75" s="224">
        <f t="shared" si="45"/>
        <v>3</v>
      </c>
      <c r="U75" s="189">
        <f t="shared" si="56"/>
        <v>32</v>
      </c>
      <c r="V75" s="159">
        <f t="shared" si="56"/>
        <v>41</v>
      </c>
      <c r="W75" s="380"/>
      <c r="X75" s="397"/>
      <c r="Y75" s="397"/>
      <c r="Z75" s="361"/>
      <c r="AA75" s="361"/>
      <c r="AB75" s="361"/>
      <c r="AC75" s="361"/>
      <c r="AD75" s="361"/>
      <c r="AE75" s="327"/>
      <c r="AG75" s="253">
        <f>IF(AND(AG62=1,AG64=1),1,"")</f>
      </c>
      <c r="AH75" s="247"/>
      <c r="AI75" s="9">
        <f t="shared" si="46"/>
        <v>6</v>
      </c>
      <c r="AJ75" s="10">
        <f t="shared" si="47"/>
        <v>11</v>
      </c>
      <c r="AK75" s="9">
        <f t="shared" si="48"/>
        <v>7</v>
      </c>
      <c r="AL75" s="10">
        <f t="shared" si="49"/>
        <v>11</v>
      </c>
      <c r="AM75" s="9">
        <f t="shared" si="50"/>
        <v>11</v>
      </c>
      <c r="AN75" s="10">
        <f t="shared" si="51"/>
        <v>8</v>
      </c>
      <c r="AO75" s="9">
        <f t="shared" si="52"/>
        <v>8</v>
      </c>
      <c r="AP75" s="10">
        <f t="shared" si="53"/>
        <v>11</v>
      </c>
      <c r="AQ75" s="9">
        <f t="shared" si="54"/>
        <v>0</v>
      </c>
      <c r="AR75" s="10">
        <f t="shared" si="55"/>
        <v>0</v>
      </c>
    </row>
    <row r="76" spans="3:44" ht="15">
      <c r="C76" s="53" t="s">
        <v>35</v>
      </c>
      <c r="D76" s="229"/>
      <c r="E76" s="82" t="str">
        <f>IF(E59&gt;0,E59,0)</f>
        <v>Jani Jormanainen</v>
      </c>
      <c r="F76" s="76" t="str">
        <f>IF(E64&gt;0,E64,0)</f>
        <v>Jussi Mäkelä</v>
      </c>
      <c r="G76" s="3"/>
      <c r="H76" s="4"/>
      <c r="I76" s="405">
        <v>5</v>
      </c>
      <c r="J76" s="410"/>
      <c r="K76" s="405">
        <v>3</v>
      </c>
      <c r="L76" s="410"/>
      <c r="M76" s="405">
        <v>9</v>
      </c>
      <c r="N76" s="410"/>
      <c r="O76" s="405"/>
      <c r="P76" s="410"/>
      <c r="Q76" s="405"/>
      <c r="R76" s="406"/>
      <c r="S76" s="219">
        <f t="shared" si="44"/>
        <v>3</v>
      </c>
      <c r="T76" s="222">
        <f t="shared" si="45"/>
        <v>0</v>
      </c>
      <c r="U76" s="177">
        <f t="shared" si="56"/>
        <v>33</v>
      </c>
      <c r="V76" s="178">
        <f t="shared" si="56"/>
        <v>17</v>
      </c>
      <c r="W76" s="380"/>
      <c r="X76" s="397"/>
      <c r="Y76" s="397"/>
      <c r="Z76" s="361"/>
      <c r="AA76" s="361"/>
      <c r="AB76" s="361"/>
      <c r="AC76" s="361"/>
      <c r="AD76" s="361"/>
      <c r="AE76" s="327"/>
      <c r="AG76" s="253">
        <f>IF(AND(AG59=1,AG64=1),1,"")</f>
      </c>
      <c r="AH76" s="247"/>
      <c r="AI76" s="9">
        <f t="shared" si="46"/>
        <v>11</v>
      </c>
      <c r="AJ76" s="10">
        <f t="shared" si="47"/>
        <v>5</v>
      </c>
      <c r="AK76" s="9">
        <f t="shared" si="48"/>
        <v>11</v>
      </c>
      <c r="AL76" s="10">
        <f t="shared" si="49"/>
        <v>3</v>
      </c>
      <c r="AM76" s="9">
        <f t="shared" si="50"/>
        <v>11</v>
      </c>
      <c r="AN76" s="10">
        <f t="shared" si="51"/>
        <v>9</v>
      </c>
      <c r="AO76" s="9">
        <f t="shared" si="52"/>
        <v>0</v>
      </c>
      <c r="AP76" s="10">
        <f t="shared" si="53"/>
        <v>0</v>
      </c>
      <c r="AQ76" s="9">
        <f t="shared" si="54"/>
        <v>0</v>
      </c>
      <c r="AR76" s="10">
        <f t="shared" si="55"/>
        <v>0</v>
      </c>
    </row>
    <row r="77" spans="3:44" ht="15">
      <c r="C77" s="53" t="s">
        <v>24</v>
      </c>
      <c r="D77" s="229"/>
      <c r="E77" s="82" t="str">
        <f>IF(E60&gt;0,E60,0)</f>
        <v>Alex Naumi</v>
      </c>
      <c r="F77" s="76" t="str">
        <f>IF(E61&gt;0,E61,0)</f>
        <v>Chau Dinh Huy</v>
      </c>
      <c r="G77" s="8"/>
      <c r="H77" s="4"/>
      <c r="I77" s="412">
        <v>-7</v>
      </c>
      <c r="J77" s="409"/>
      <c r="K77" s="412">
        <v>5</v>
      </c>
      <c r="L77" s="409"/>
      <c r="M77" s="398">
        <v>-7</v>
      </c>
      <c r="N77" s="409"/>
      <c r="O77" s="398">
        <v>1</v>
      </c>
      <c r="P77" s="409"/>
      <c r="Q77" s="398">
        <v>-11</v>
      </c>
      <c r="R77" s="399"/>
      <c r="S77" s="220">
        <f t="shared" si="44"/>
        <v>2</v>
      </c>
      <c r="T77" s="223">
        <f t="shared" si="45"/>
        <v>3</v>
      </c>
      <c r="U77" s="31">
        <f t="shared" si="56"/>
        <v>47</v>
      </c>
      <c r="V77" s="27">
        <f t="shared" si="56"/>
        <v>41</v>
      </c>
      <c r="W77" s="380"/>
      <c r="X77" s="397"/>
      <c r="Y77" s="397"/>
      <c r="Z77" s="361"/>
      <c r="AA77" s="361"/>
      <c r="AB77" s="361"/>
      <c r="AC77" s="361"/>
      <c r="AD77" s="361"/>
      <c r="AE77" s="327"/>
      <c r="AG77" s="253">
        <f>IF(AND(AG60=1,AG61=1),1,"")</f>
      </c>
      <c r="AH77" s="247"/>
      <c r="AI77" s="9">
        <f t="shared" si="46"/>
        <v>7</v>
      </c>
      <c r="AJ77" s="10">
        <f t="shared" si="47"/>
        <v>11</v>
      </c>
      <c r="AK77" s="9">
        <f t="shared" si="48"/>
        <v>11</v>
      </c>
      <c r="AL77" s="10">
        <f t="shared" si="49"/>
        <v>5</v>
      </c>
      <c r="AM77" s="9">
        <f t="shared" si="50"/>
        <v>7</v>
      </c>
      <c r="AN77" s="10">
        <f t="shared" si="51"/>
        <v>11</v>
      </c>
      <c r="AO77" s="9">
        <f t="shared" si="52"/>
        <v>11</v>
      </c>
      <c r="AP77" s="10">
        <f t="shared" si="53"/>
        <v>1</v>
      </c>
      <c r="AQ77" s="9">
        <f t="shared" si="54"/>
        <v>11</v>
      </c>
      <c r="AR77" s="10">
        <f t="shared" si="55"/>
        <v>13</v>
      </c>
    </row>
    <row r="78" spans="3:44" ht="15.75" thickBot="1">
      <c r="C78" s="56" t="s">
        <v>36</v>
      </c>
      <c r="D78" s="230"/>
      <c r="E78" s="84" t="str">
        <f>IF(E62&gt;0,E62,0)</f>
        <v>Mika Tuomola</v>
      </c>
      <c r="F78" s="78" t="str">
        <f>IF(E63&gt;0,E63,0)</f>
        <v>Veikka Flemming</v>
      </c>
      <c r="G78" s="1"/>
      <c r="H78" s="28"/>
      <c r="I78" s="400">
        <v>6</v>
      </c>
      <c r="J78" s="402"/>
      <c r="K78" s="400">
        <v>-7</v>
      </c>
      <c r="L78" s="402"/>
      <c r="M78" s="400">
        <v>8</v>
      </c>
      <c r="N78" s="402"/>
      <c r="O78" s="400">
        <v>12</v>
      </c>
      <c r="P78" s="402"/>
      <c r="Q78" s="400"/>
      <c r="R78" s="401"/>
      <c r="S78" s="221">
        <f t="shared" si="44"/>
        <v>3</v>
      </c>
      <c r="T78" s="224">
        <f t="shared" si="45"/>
        <v>1</v>
      </c>
      <c r="U78" s="184">
        <f t="shared" si="56"/>
        <v>43</v>
      </c>
      <c r="V78" s="185">
        <f t="shared" si="56"/>
        <v>37</v>
      </c>
      <c r="W78" s="380"/>
      <c r="X78" s="397"/>
      <c r="Y78" s="397"/>
      <c r="Z78" s="361"/>
      <c r="AA78" s="361"/>
      <c r="AB78" s="361"/>
      <c r="AC78" s="361"/>
      <c r="AD78" s="361"/>
      <c r="AE78" s="327"/>
      <c r="AG78" s="253">
        <f>IF(AND(AG62=1,AG63=1),1,"")</f>
      </c>
      <c r="AH78" s="247"/>
      <c r="AI78" s="11">
        <f t="shared" si="46"/>
        <v>11</v>
      </c>
      <c r="AJ78" s="12">
        <f t="shared" si="47"/>
        <v>6</v>
      </c>
      <c r="AK78" s="11">
        <f t="shared" si="48"/>
        <v>7</v>
      </c>
      <c r="AL78" s="12">
        <f t="shared" si="49"/>
        <v>11</v>
      </c>
      <c r="AM78" s="11">
        <f t="shared" si="50"/>
        <v>11</v>
      </c>
      <c r="AN78" s="12">
        <f t="shared" si="51"/>
        <v>8</v>
      </c>
      <c r="AO78" s="11">
        <f t="shared" si="52"/>
        <v>14</v>
      </c>
      <c r="AP78" s="12">
        <f t="shared" si="53"/>
        <v>12</v>
      </c>
      <c r="AQ78" s="11">
        <f t="shared" si="54"/>
        <v>0</v>
      </c>
      <c r="AR78" s="12">
        <f t="shared" si="55"/>
        <v>0</v>
      </c>
    </row>
    <row r="79" spans="3:44" ht="15">
      <c r="C79" s="53" t="s">
        <v>25</v>
      </c>
      <c r="D79" s="229"/>
      <c r="E79" s="82" t="str">
        <f>IF(E59&gt;0,E59,0)</f>
        <v>Jani Jormanainen</v>
      </c>
      <c r="F79" s="76" t="str">
        <f>IF(E60&gt;0,E60,0)</f>
        <v>Alex Naumi</v>
      </c>
      <c r="G79" s="3"/>
      <c r="H79" s="4"/>
      <c r="I79" s="405">
        <v>4</v>
      </c>
      <c r="J79" s="410"/>
      <c r="K79" s="405">
        <v>8</v>
      </c>
      <c r="L79" s="410"/>
      <c r="M79" s="405">
        <v>-11</v>
      </c>
      <c r="N79" s="410"/>
      <c r="O79" s="405">
        <v>-6</v>
      </c>
      <c r="P79" s="410"/>
      <c r="Q79" s="405">
        <v>-4</v>
      </c>
      <c r="R79" s="406"/>
      <c r="S79" s="219">
        <f t="shared" si="44"/>
        <v>2</v>
      </c>
      <c r="T79" s="222">
        <f t="shared" si="45"/>
        <v>3</v>
      </c>
      <c r="U79" s="186">
        <f t="shared" si="56"/>
        <v>43</v>
      </c>
      <c r="V79" s="187">
        <f t="shared" si="56"/>
        <v>47</v>
      </c>
      <c r="W79" s="380"/>
      <c r="X79" s="397"/>
      <c r="Y79" s="397"/>
      <c r="Z79" s="361"/>
      <c r="AA79" s="361"/>
      <c r="AB79" s="361"/>
      <c r="AC79" s="361"/>
      <c r="AD79" s="361"/>
      <c r="AE79" s="327"/>
      <c r="AG79" s="253">
        <f>IF(AND(AG59=1,AG60=1),1,"")</f>
      </c>
      <c r="AH79" s="247"/>
      <c r="AI79" s="6">
        <f t="shared" si="46"/>
        <v>11</v>
      </c>
      <c r="AJ79" s="7">
        <f t="shared" si="47"/>
        <v>4</v>
      </c>
      <c r="AK79" s="6">
        <f t="shared" si="48"/>
        <v>11</v>
      </c>
      <c r="AL79" s="7">
        <f t="shared" si="49"/>
        <v>8</v>
      </c>
      <c r="AM79" s="6">
        <f t="shared" si="50"/>
        <v>11</v>
      </c>
      <c r="AN79" s="7">
        <f t="shared" si="51"/>
        <v>13</v>
      </c>
      <c r="AO79" s="6">
        <f t="shared" si="52"/>
        <v>6</v>
      </c>
      <c r="AP79" s="7">
        <f t="shared" si="53"/>
        <v>11</v>
      </c>
      <c r="AQ79" s="6">
        <f t="shared" si="54"/>
        <v>4</v>
      </c>
      <c r="AR79" s="7">
        <f t="shared" si="55"/>
        <v>11</v>
      </c>
    </row>
    <row r="80" spans="3:44" ht="15" customHeight="1">
      <c r="C80" s="53" t="s">
        <v>26</v>
      </c>
      <c r="D80" s="229"/>
      <c r="E80" s="82" t="str">
        <f>IF(E61&gt;0,E61,0)</f>
        <v>Chau Dinh Huy</v>
      </c>
      <c r="F80" s="76" t="str">
        <f>IF(E62&gt;0,E62,0)</f>
        <v>Mika Tuomola</v>
      </c>
      <c r="G80" s="8"/>
      <c r="H80" s="4"/>
      <c r="I80" s="412">
        <v>9</v>
      </c>
      <c r="J80" s="409"/>
      <c r="K80" s="412">
        <v>7</v>
      </c>
      <c r="L80" s="409"/>
      <c r="M80" s="398">
        <v>-8</v>
      </c>
      <c r="N80" s="409"/>
      <c r="O80" s="398">
        <v>6</v>
      </c>
      <c r="P80" s="409"/>
      <c r="Q80" s="398"/>
      <c r="R80" s="399"/>
      <c r="S80" s="220">
        <f t="shared" si="44"/>
        <v>3</v>
      </c>
      <c r="T80" s="223">
        <f t="shared" si="45"/>
        <v>1</v>
      </c>
      <c r="U80" s="188">
        <f t="shared" si="56"/>
        <v>41</v>
      </c>
      <c r="V80" s="27">
        <f t="shared" si="56"/>
        <v>33</v>
      </c>
      <c r="W80" s="380"/>
      <c r="X80" s="397"/>
      <c r="Y80" s="397"/>
      <c r="Z80" s="361"/>
      <c r="AA80" s="361"/>
      <c r="AB80" s="361"/>
      <c r="AC80" s="361"/>
      <c r="AD80" s="361"/>
      <c r="AE80" s="327"/>
      <c r="AG80" s="253">
        <f>IF(AND(AG61=1,AG62=1),1,"")</f>
      </c>
      <c r="AH80" s="247"/>
      <c r="AI80" s="9">
        <f t="shared" si="46"/>
        <v>11</v>
      </c>
      <c r="AJ80" s="10">
        <f t="shared" si="47"/>
        <v>9</v>
      </c>
      <c r="AK80" s="9">
        <f t="shared" si="48"/>
        <v>11</v>
      </c>
      <c r="AL80" s="10">
        <f t="shared" si="49"/>
        <v>7</v>
      </c>
      <c r="AM80" s="9">
        <f t="shared" si="50"/>
        <v>8</v>
      </c>
      <c r="AN80" s="10">
        <f t="shared" si="51"/>
        <v>11</v>
      </c>
      <c r="AO80" s="9">
        <f t="shared" si="52"/>
        <v>11</v>
      </c>
      <c r="AP80" s="10">
        <f t="shared" si="53"/>
        <v>6</v>
      </c>
      <c r="AQ80" s="9">
        <f t="shared" si="54"/>
        <v>0</v>
      </c>
      <c r="AR80" s="10">
        <f t="shared" si="55"/>
        <v>0</v>
      </c>
    </row>
    <row r="81" spans="3:44" ht="15.75" thickBot="1">
      <c r="C81" s="56" t="s">
        <v>37</v>
      </c>
      <c r="D81" s="230"/>
      <c r="E81" s="89" t="str">
        <f>IF(E63&gt;0,E63,0)</f>
        <v>Veikka Flemming</v>
      </c>
      <c r="F81" s="90" t="str">
        <f>IF(E64&gt;0,E64,0)</f>
        <v>Jussi Mäkelä</v>
      </c>
      <c r="G81" s="1"/>
      <c r="H81" s="28"/>
      <c r="I81" s="400">
        <v>-7</v>
      </c>
      <c r="J81" s="402"/>
      <c r="K81" s="400">
        <v>13</v>
      </c>
      <c r="L81" s="402"/>
      <c r="M81" s="400">
        <v>7</v>
      </c>
      <c r="N81" s="402"/>
      <c r="O81" s="400">
        <v>7</v>
      </c>
      <c r="P81" s="402"/>
      <c r="Q81" s="400"/>
      <c r="R81" s="401"/>
      <c r="S81" s="221">
        <f t="shared" si="44"/>
        <v>3</v>
      </c>
      <c r="T81" s="224">
        <f t="shared" si="45"/>
        <v>1</v>
      </c>
      <c r="U81" s="158">
        <f t="shared" si="56"/>
        <v>44</v>
      </c>
      <c r="V81" s="159">
        <f t="shared" si="56"/>
        <v>38</v>
      </c>
      <c r="W81" s="380"/>
      <c r="X81" s="397"/>
      <c r="Y81" s="397"/>
      <c r="Z81" s="361"/>
      <c r="AA81" s="361"/>
      <c r="AB81" s="361"/>
      <c r="AC81" s="361"/>
      <c r="AD81" s="361"/>
      <c r="AE81" s="327"/>
      <c r="AG81" s="253">
        <f>IF(AND(AG63=1,AG64=1),1,"")</f>
      </c>
      <c r="AH81" s="247"/>
      <c r="AI81" s="9">
        <f t="shared" si="46"/>
        <v>7</v>
      </c>
      <c r="AJ81" s="10">
        <f t="shared" si="47"/>
        <v>11</v>
      </c>
      <c r="AK81" s="9">
        <f t="shared" si="48"/>
        <v>15</v>
      </c>
      <c r="AL81" s="10">
        <f t="shared" si="49"/>
        <v>13</v>
      </c>
      <c r="AM81" s="9">
        <f t="shared" si="50"/>
        <v>11</v>
      </c>
      <c r="AN81" s="10">
        <f t="shared" si="51"/>
        <v>7</v>
      </c>
      <c r="AO81" s="9">
        <f t="shared" si="52"/>
        <v>11</v>
      </c>
      <c r="AP81" s="10">
        <f t="shared" si="53"/>
        <v>7</v>
      </c>
      <c r="AQ81" s="9">
        <f t="shared" si="54"/>
        <v>0</v>
      </c>
      <c r="AR81" s="10">
        <f t="shared" si="55"/>
        <v>0</v>
      </c>
    </row>
    <row r="82" spans="24:31" ht="15">
      <c r="X82" s="362"/>
      <c r="Y82" s="362"/>
      <c r="Z82" s="362"/>
      <c r="AA82" s="362"/>
      <c r="AB82" s="362"/>
      <c r="AC82" s="362"/>
      <c r="AD82" s="362"/>
      <c r="AE82" s="327"/>
    </row>
    <row r="83" spans="24:64" ht="15.75" thickBot="1">
      <c r="X83" s="362"/>
      <c r="Y83" s="362"/>
      <c r="Z83" s="362"/>
      <c r="AA83" s="362"/>
      <c r="AB83" s="362"/>
      <c r="AC83" s="362"/>
      <c r="AD83" s="362"/>
      <c r="AE83" s="327"/>
      <c r="AG83" s="393" t="s">
        <v>84</v>
      </c>
      <c r="AH83" s="393"/>
      <c r="AI83" s="393"/>
      <c r="AJ83" s="393"/>
      <c r="AK83" s="393"/>
      <c r="AL83" s="393"/>
      <c r="AM83" s="393"/>
      <c r="AN83" s="393"/>
      <c r="AO83" s="393"/>
      <c r="AP83" s="393"/>
      <c r="AQ83" s="393"/>
      <c r="AR83" s="393"/>
      <c r="AS83" s="393"/>
      <c r="AT83" s="393"/>
      <c r="AU83" s="393"/>
      <c r="AV83" s="393"/>
      <c r="AW83" s="393"/>
      <c r="AX83" s="393"/>
      <c r="AY83" s="393"/>
      <c r="AZ83" s="393"/>
      <c r="BA83" s="393"/>
      <c r="BB83" s="393"/>
      <c r="BC83" s="393"/>
      <c r="BD83" s="393"/>
      <c r="BE83" s="393"/>
      <c r="BF83" s="393"/>
      <c r="BG83" s="393"/>
      <c r="BH83" s="393"/>
      <c r="BI83" s="393"/>
      <c r="BJ83" s="393"/>
      <c r="BK83" s="393"/>
      <c r="BL83" s="393"/>
    </row>
    <row r="84" spans="3:31" ht="15.75">
      <c r="C84" s="34"/>
      <c r="D84" s="232"/>
      <c r="E84" s="85" t="str">
        <f>$E$5</f>
        <v>TOP-12 1-karsinta</v>
      </c>
      <c r="F84" s="35"/>
      <c r="G84" s="35"/>
      <c r="H84" s="35"/>
      <c r="I84" s="36"/>
      <c r="J84" s="432"/>
      <c r="K84" s="433"/>
      <c r="L84" s="433"/>
      <c r="M84" s="155"/>
      <c r="N84" s="38"/>
      <c r="O84" s="38"/>
      <c r="P84" s="38"/>
      <c r="Q84" s="156" t="s">
        <v>0</v>
      </c>
      <c r="R84" s="157"/>
      <c r="S84" s="434" t="s">
        <v>44</v>
      </c>
      <c r="T84" s="434"/>
      <c r="U84" s="434"/>
      <c r="V84" s="434"/>
      <c r="W84" s="378"/>
      <c r="X84" s="363"/>
      <c r="Y84" s="363"/>
      <c r="Z84" s="363"/>
      <c r="AA84" s="363"/>
      <c r="AB84" s="363"/>
      <c r="AC84" s="363"/>
      <c r="AD84" s="363"/>
      <c r="AE84" s="327"/>
    </row>
    <row r="85" spans="3:43" ht="16.5" thickBot="1">
      <c r="C85" s="99"/>
      <c r="D85" s="233"/>
      <c r="E85" s="140" t="str">
        <f>$E$6</f>
        <v>SPTL</v>
      </c>
      <c r="F85" s="100" t="s">
        <v>1</v>
      </c>
      <c r="G85" s="447"/>
      <c r="H85" s="448"/>
      <c r="I85" s="443"/>
      <c r="J85" s="449" t="s">
        <v>2</v>
      </c>
      <c r="K85" s="450"/>
      <c r="L85" s="450"/>
      <c r="M85" s="451">
        <f>$M$6</f>
        <v>42280</v>
      </c>
      <c r="N85" s="451"/>
      <c r="O85" s="451"/>
      <c r="P85" s="452"/>
      <c r="Q85" s="435" t="s">
        <v>3</v>
      </c>
      <c r="R85" s="436"/>
      <c r="S85" s="437" t="str">
        <f>$S$6</f>
        <v>11:00</v>
      </c>
      <c r="T85" s="438"/>
      <c r="U85" s="438"/>
      <c r="V85" s="439"/>
      <c r="W85" s="336"/>
      <c r="X85" s="360"/>
      <c r="Y85" s="360"/>
      <c r="Z85" s="360"/>
      <c r="AA85" s="360"/>
      <c r="AB85" s="360"/>
      <c r="AC85" s="360"/>
      <c r="AD85" s="360"/>
      <c r="AE85" s="364"/>
      <c r="AF85" s="13"/>
      <c r="AG85" s="13"/>
      <c r="AQ85" t="s">
        <v>20</v>
      </c>
    </row>
    <row r="86" spans="2:73" ht="15.75" thickBot="1">
      <c r="B86" s="33"/>
      <c r="C86" s="43"/>
      <c r="D86" s="238"/>
      <c r="E86" s="317" t="s">
        <v>4</v>
      </c>
      <c r="F86" s="175" t="s">
        <v>5</v>
      </c>
      <c r="G86" s="453" t="s">
        <v>6</v>
      </c>
      <c r="H86" s="454"/>
      <c r="I86" s="453" t="s">
        <v>7</v>
      </c>
      <c r="J86" s="454"/>
      <c r="K86" s="453" t="s">
        <v>8</v>
      </c>
      <c r="L86" s="454"/>
      <c r="M86" s="453" t="s">
        <v>9</v>
      </c>
      <c r="N86" s="454"/>
      <c r="O86" s="455" t="s">
        <v>27</v>
      </c>
      <c r="P86" s="454"/>
      <c r="Q86" s="440" t="s">
        <v>28</v>
      </c>
      <c r="R86" s="441"/>
      <c r="S86" s="44" t="s">
        <v>10</v>
      </c>
      <c r="T86" s="45" t="s">
        <v>11</v>
      </c>
      <c r="U86" s="446" t="s">
        <v>69</v>
      </c>
      <c r="V86" s="441"/>
      <c r="W86" s="160" t="s">
        <v>12</v>
      </c>
      <c r="X86" s="365"/>
      <c r="Y86" s="330" t="s">
        <v>74</v>
      </c>
      <c r="Z86" s="300"/>
      <c r="AA86" s="300"/>
      <c r="AB86" s="300"/>
      <c r="AC86" s="368"/>
      <c r="AD86" s="369"/>
      <c r="AE86" s="337" t="s">
        <v>73</v>
      </c>
      <c r="AG86" s="197" t="s">
        <v>65</v>
      </c>
      <c r="AI86" s="330" t="s">
        <v>74</v>
      </c>
      <c r="AJ86" s="300"/>
      <c r="AK86" s="300"/>
      <c r="AL86" s="324"/>
      <c r="AO86" s="337" t="s">
        <v>73</v>
      </c>
      <c r="AQ86" s="465" t="s">
        <v>6</v>
      </c>
      <c r="AR86" s="466"/>
      <c r="AS86" s="319" t="s">
        <v>7</v>
      </c>
      <c r="AT86" s="320"/>
      <c r="AU86" s="321" t="s">
        <v>8</v>
      </c>
      <c r="AV86" s="318"/>
      <c r="AW86" s="319" t="s">
        <v>9</v>
      </c>
      <c r="AX86" s="320"/>
      <c r="AY86" s="322" t="s">
        <v>27</v>
      </c>
      <c r="AZ86" s="323"/>
      <c r="BA86" s="489" t="s">
        <v>28</v>
      </c>
      <c r="BB86" s="490"/>
      <c r="BC86" s="261" t="s">
        <v>66</v>
      </c>
      <c r="BD86" s="262"/>
      <c r="BE86" s="277" t="s">
        <v>71</v>
      </c>
      <c r="BG86" s="298" t="s">
        <v>72</v>
      </c>
      <c r="BH86" s="299"/>
      <c r="BI86" s="299"/>
      <c r="BJ86" s="300"/>
      <c r="BK86" s="300"/>
      <c r="BL86" s="300"/>
      <c r="BM86" s="300"/>
      <c r="BN86" s="300"/>
      <c r="BO86" s="300"/>
      <c r="BP86" s="300"/>
      <c r="BQ86" s="300"/>
      <c r="BR86" s="300"/>
      <c r="BS86" s="340" t="s">
        <v>76</v>
      </c>
      <c r="BT86" s="341"/>
      <c r="BU86" s="325" t="s">
        <v>71</v>
      </c>
    </row>
    <row r="87" spans="2:73" ht="15.75">
      <c r="B87" s="33">
        <f aca="true" t="shared" si="57" ref="B87:B92">W87</f>
        <v>8</v>
      </c>
      <c r="C87" s="235">
        <v>1</v>
      </c>
      <c r="D87" s="314" t="s">
        <v>51</v>
      </c>
      <c r="E87" s="242" t="str">
        <f>VLOOKUP(3,$B$8:$F$11,4,FALSE)</f>
        <v>Aleksi Mustonen</v>
      </c>
      <c r="F87" s="164" t="str">
        <f>VLOOKUP(3,$B$8:$F$11,5,FALSE)</f>
        <v>TIP-70</v>
      </c>
      <c r="G87" s="168"/>
      <c r="H87" s="15"/>
      <c r="I87" s="16">
        <f>+S107</f>
        <v>1</v>
      </c>
      <c r="J87" s="17">
        <f>+T107</f>
        <v>3</v>
      </c>
      <c r="K87" s="171">
        <f>S101</f>
        <v>3</v>
      </c>
      <c r="L87" s="17">
        <f>T101</f>
        <v>0</v>
      </c>
      <c r="M87" s="171">
        <f>S98</f>
        <v>3</v>
      </c>
      <c r="N87" s="17">
        <f>T98</f>
        <v>1</v>
      </c>
      <c r="O87" s="171">
        <f>S95</f>
        <v>0</v>
      </c>
      <c r="P87" s="17">
        <f>T95</f>
        <v>0</v>
      </c>
      <c r="Q87" s="171">
        <f>S104</f>
        <v>3</v>
      </c>
      <c r="R87" s="17">
        <f>T104</f>
        <v>1</v>
      </c>
      <c r="S87" s="18">
        <f>IF(SUM(G87:R87)=0,0,COUNTIF(H87:H92,"3"))</f>
        <v>3</v>
      </c>
      <c r="T87" s="19">
        <f>IF(SUM(H87:S87)=0,0,COUNTIF(G87:G92,"3"))</f>
        <v>1</v>
      </c>
      <c r="U87" s="407">
        <f aca="true" t="shared" si="58" ref="U87:U92">+AE87</f>
        <v>8</v>
      </c>
      <c r="V87" s="408"/>
      <c r="W87" s="217">
        <v>8</v>
      </c>
      <c r="X87" s="366"/>
      <c r="Y87" s="331"/>
      <c r="Z87" s="250">
        <f>IF($S107=3,2,IF($W107=1,0,1))</f>
        <v>1</v>
      </c>
      <c r="AA87" s="250">
        <f>IF($S101=3,2,IF($W101=1,0,1))</f>
        <v>2</v>
      </c>
      <c r="AB87" s="250">
        <f>IF($S98=3,2,IF($W98=1,0,1))</f>
        <v>2</v>
      </c>
      <c r="AC87" s="250">
        <f>IF($S95=3,2,IF($W95=1,0,1))</f>
        <v>1</v>
      </c>
      <c r="AD87" s="250">
        <f>IF($S104=3,2,IF($W104=1,0,1))</f>
        <v>2</v>
      </c>
      <c r="AE87" s="332">
        <f aca="true" t="shared" si="59" ref="AE87:AE92">SUM(Y87:AD87)</f>
        <v>8</v>
      </c>
      <c r="AG87" s="380"/>
      <c r="AI87" s="331"/>
      <c r="AJ87" s="250">
        <f>IF($AG107=1,IF($S107=3,2,IF($W107=1,0,1)),"")</f>
      </c>
      <c r="AK87" s="250">
        <f>IF($AG101=1,IF($S101=3,2,IF($W101=1,0,1)),"")</f>
      </c>
      <c r="AL87" s="250">
        <f>IF($AG98=1,IF($S98=3,2,IF($W98=1,0,1)),"")</f>
      </c>
      <c r="AM87" s="250">
        <f>IF($AG104=1,IF($S95=3,2,IF($W95=1,0,1)),"")</f>
      </c>
      <c r="AN87" s="250">
        <f>IF($AG104=1,IF($S104=3,2,IF($W104=1,0,1)),"")</f>
      </c>
      <c r="AO87" s="332">
        <f aca="true" t="shared" si="60" ref="AO87:AO92">SUM(AI87:AN87)</f>
        <v>0</v>
      </c>
      <c r="AQ87" s="248"/>
      <c r="AR87" s="249"/>
      <c r="AS87" s="250">
        <f>IF($AG107=1,S107,"")</f>
      </c>
      <c r="AT87" s="250">
        <f>IF($AG107=1,T107,"")</f>
      </c>
      <c r="AU87" s="250">
        <f>IF($AG101=1,S101,"")</f>
      </c>
      <c r="AV87" s="250">
        <f>IF($AG101=1,T101,"")</f>
      </c>
      <c r="AW87" s="250">
        <f>IF($AG98=1,S98,"")</f>
      </c>
      <c r="AX87" s="250">
        <f>IF($AG98=1,T98,"")</f>
      </c>
      <c r="AY87" s="250">
        <f>IF($AG95=1,S95,"")</f>
      </c>
      <c r="AZ87" s="250">
        <f>IF($AG95=1,T95,"")</f>
      </c>
      <c r="BA87" s="250">
        <f>IF($AG104=1,S104,"")</f>
      </c>
      <c r="BB87" s="250">
        <f>IF($AG104=1,T104,"")</f>
      </c>
      <c r="BC87" s="263">
        <f>IF(SUM(AQ87:BB87)=0,"",SUM(AR87:AR92))</f>
      </c>
      <c r="BD87" s="301">
        <f>IF(SUM(AQ87:BB87)=0,"",SUM(AQ86:AQ92))</f>
      </c>
      <c r="BE87" s="326">
        <f aca="true" t="shared" si="61" ref="BE87:BE92">IF(AG87=1,IF(BC87=0,0,IF(BD87=0,BC87,BC87/BD87)),"")</f>
      </c>
      <c r="BG87" s="291"/>
      <c r="BH87" s="292"/>
      <c r="BI87" s="309">
        <f>IF($AG107=1,U107,0)</f>
        <v>0</v>
      </c>
      <c r="BJ87" s="287">
        <f>IF($AG107=1,V107,0)</f>
        <v>0</v>
      </c>
      <c r="BK87" s="309">
        <f>IF($AG101=1,U101,0)</f>
        <v>0</v>
      </c>
      <c r="BL87" s="287">
        <f>IF($AG101=1,V101,0)</f>
        <v>0</v>
      </c>
      <c r="BM87" s="309">
        <f>IF($AG98=1,U98,0)</f>
        <v>0</v>
      </c>
      <c r="BN87" s="287">
        <f>IF($AG98=1,V98,0)</f>
        <v>0</v>
      </c>
      <c r="BO87" s="309">
        <f>IF($AG95=1,U95,0)</f>
        <v>0</v>
      </c>
      <c r="BP87" s="287">
        <f>IF($AG95=1,V95,0)</f>
        <v>0</v>
      </c>
      <c r="BQ87" s="309">
        <f>IF($AG104=1,U104,0)</f>
        <v>0</v>
      </c>
      <c r="BR87" s="287">
        <f>IF($AG104=1,V104,0)</f>
        <v>0</v>
      </c>
      <c r="BS87" s="348">
        <f aca="true" t="shared" si="62" ref="BS87:BS92">+BG87+BI87+BK87+BM87+BO87+BQ87</f>
        <v>0</v>
      </c>
      <c r="BT87" s="339">
        <f aca="true" t="shared" si="63" ref="BT87:BT92">+BJ87+BL87+BN87+BP87+BR87</f>
        <v>0</v>
      </c>
      <c r="BU87" s="355">
        <f aca="true" t="shared" si="64" ref="BU87:BU92">IF(AG87=1,IF(BS87=0,0,IF(BT87=0,BS87,BS87/BT87)),"")</f>
      </c>
    </row>
    <row r="88" spans="2:73" ht="15.75">
      <c r="B88" s="33">
        <f t="shared" si="57"/>
        <v>7</v>
      </c>
      <c r="C88" s="236">
        <v>2</v>
      </c>
      <c r="D88" s="314" t="s">
        <v>52</v>
      </c>
      <c r="E88" s="242" t="str">
        <f>VLOOKUP(3,$B$25:$F$28,4,FALSE)</f>
        <v>Mika Rauvola</v>
      </c>
      <c r="F88" s="164" t="str">
        <f>VLOOKUP(3,$B$25:$F$28,5,FALSE)</f>
        <v>IPT-94</v>
      </c>
      <c r="G88" s="169">
        <f>+T107</f>
        <v>3</v>
      </c>
      <c r="H88" s="21">
        <f>+S107</f>
        <v>1</v>
      </c>
      <c r="I88" s="22"/>
      <c r="J88" s="23"/>
      <c r="K88" s="169">
        <f>S105</f>
        <v>3</v>
      </c>
      <c r="L88" s="21">
        <f>T105</f>
        <v>2</v>
      </c>
      <c r="M88" s="169">
        <f>S96</f>
        <v>3</v>
      </c>
      <c r="N88" s="21">
        <f>T96</f>
        <v>2</v>
      </c>
      <c r="O88" s="171">
        <f>S102</f>
        <v>0</v>
      </c>
      <c r="P88" s="17">
        <f>T102</f>
        <v>0</v>
      </c>
      <c r="Q88" s="171">
        <f>S99</f>
        <v>3</v>
      </c>
      <c r="R88" s="17">
        <f>T99</f>
        <v>2</v>
      </c>
      <c r="S88" s="18">
        <f>IF(SUM(G88:R88)=0,0,COUNTIF(J87:J92,"3"))</f>
        <v>4</v>
      </c>
      <c r="T88" s="19">
        <f>IF(SUM(H88:S88)=0,0,COUNTIF(I87:I92,"3"))</f>
        <v>0</v>
      </c>
      <c r="U88" s="407">
        <f t="shared" si="58"/>
        <v>9</v>
      </c>
      <c r="V88" s="408"/>
      <c r="W88" s="217">
        <v>7</v>
      </c>
      <c r="X88" s="366"/>
      <c r="Y88" s="250">
        <f>IF($T107=3,2,IF($W107=1,0,1))</f>
        <v>2</v>
      </c>
      <c r="Z88" s="331"/>
      <c r="AA88" s="250">
        <f>IF($S105=3,2,IF($W105=1,0,1))</f>
        <v>2</v>
      </c>
      <c r="AB88" s="250">
        <f>IF($S96=3,2,IF($W96=1,0,1))</f>
        <v>2</v>
      </c>
      <c r="AC88" s="250">
        <f>IF($S102=3,2,IF($W102=1,0,1))</f>
        <v>1</v>
      </c>
      <c r="AD88" s="250">
        <f>IF($S99=3,2,IF($W99=1,0,1))</f>
        <v>2</v>
      </c>
      <c r="AE88" s="332">
        <f t="shared" si="59"/>
        <v>9</v>
      </c>
      <c r="AG88" s="380"/>
      <c r="AI88" s="250">
        <f>IF($AG107=1,IF($T107=3,2,IF($W107=1,0,1)),"")</f>
      </c>
      <c r="AJ88" s="331"/>
      <c r="AK88" s="250">
        <f>IF($AG105=1,IF($S105=3,2,IF($W105=1,0,1)),"")</f>
      </c>
      <c r="AL88" s="250">
        <f>IF($AG96=1,IF($S96=3,2,IF($W96=1,0,1)),"")</f>
      </c>
      <c r="AM88" s="250">
        <f>IF($AG102=1,IF($S102=3,2,IF($W102=1,0,1)),"")</f>
      </c>
      <c r="AN88" s="250">
        <f>IF($AG99=1,IF($S99=3,2,IF($W99=1,0,1)),"")</f>
      </c>
      <c r="AO88" s="332">
        <f t="shared" si="60"/>
        <v>0</v>
      </c>
      <c r="AQ88" s="278">
        <f>IF($AG107=1,T107,"")</f>
      </c>
      <c r="AR88" s="281">
        <f>IF($AG107=1,S107,"")</f>
      </c>
      <c r="AS88" s="248"/>
      <c r="AT88" s="249"/>
      <c r="AU88" s="250">
        <f>IF($AG105=1,S105,"")</f>
      </c>
      <c r="AV88" s="250">
        <f>IF($AG105=1,T105,"")</f>
      </c>
      <c r="AW88" s="250">
        <f>IF($AG96=1,S96,"")</f>
      </c>
      <c r="AX88" s="250">
        <f>IF($AG96=1,T96,"")</f>
      </c>
      <c r="AY88" s="250">
        <f>IF($AG102=1,S102,"")</f>
      </c>
      <c r="AZ88" s="250">
        <f>IF($AG102=1,T102,"")</f>
      </c>
      <c r="BA88" s="250">
        <f>IF($AG99=1,S99,"")</f>
      </c>
      <c r="BB88" s="250">
        <f>IF($AG99=1,T99,"")</f>
      </c>
      <c r="BC88" s="256">
        <f>IF(SUM(AQ88:BB88)=0,"",SUM(AT87:AT92))</f>
      </c>
      <c r="BD88" s="302">
        <f>IF(SUM(AQ88:BB88)=0,"",SUM(AS87:AS92))</f>
      </c>
      <c r="BE88" s="326">
        <f t="shared" si="61"/>
      </c>
      <c r="BG88" s="306">
        <f>IF($AG107=1,V107,0)</f>
        <v>0</v>
      </c>
      <c r="BH88" s="287">
        <f>IF($AG107=1,U107,0)</f>
        <v>0</v>
      </c>
      <c r="BI88" s="289"/>
      <c r="BJ88" s="310"/>
      <c r="BK88" s="306">
        <f>IF($AG105=1,U105,0)</f>
        <v>0</v>
      </c>
      <c r="BL88" s="287">
        <f>IF($AG105=1,V105,0)</f>
        <v>0</v>
      </c>
      <c r="BM88" s="306">
        <f>IF($AG96=1,U96,0)</f>
        <v>0</v>
      </c>
      <c r="BN88" s="287">
        <f>IF($AG96=1,V96,0)</f>
        <v>0</v>
      </c>
      <c r="BO88" s="306">
        <f>IF($AG102=1,U102,0)</f>
        <v>0</v>
      </c>
      <c r="BP88" s="287">
        <f>IF($AG102=1,V102,0)</f>
        <v>0</v>
      </c>
      <c r="BQ88" s="306">
        <f>IF($AG99=1,U99,0)</f>
        <v>0</v>
      </c>
      <c r="BR88" s="287">
        <f>IF($AG99=1,V99,0)</f>
        <v>0</v>
      </c>
      <c r="BS88" s="349">
        <f t="shared" si="62"/>
        <v>0</v>
      </c>
      <c r="BT88" s="287">
        <f t="shared" si="63"/>
        <v>0</v>
      </c>
      <c r="BU88" s="356">
        <f t="shared" si="64"/>
      </c>
    </row>
    <row r="89" spans="2:73" ht="15.75">
      <c r="B89" s="33">
        <f t="shared" si="57"/>
        <v>10</v>
      </c>
      <c r="C89" s="236">
        <v>3</v>
      </c>
      <c r="D89" s="314" t="s">
        <v>53</v>
      </c>
      <c r="E89" s="242" t="str">
        <f>VLOOKUP(3,$B$42:$F$45,4,FALSE)</f>
        <v>Tero Tamminen</v>
      </c>
      <c r="F89" s="164" t="str">
        <f>VLOOKUP(3,$B$42:$F$45,5,FALSE)</f>
        <v>PT Espoo</v>
      </c>
      <c r="G89" s="169">
        <f>+T101</f>
        <v>0</v>
      </c>
      <c r="H89" s="21">
        <f>+S101</f>
        <v>3</v>
      </c>
      <c r="I89" s="20">
        <f>T105</f>
        <v>2</v>
      </c>
      <c r="J89" s="21">
        <f>S105</f>
        <v>3</v>
      </c>
      <c r="K89" s="172"/>
      <c r="L89" s="23"/>
      <c r="M89" s="169">
        <f>S108</f>
        <v>1</v>
      </c>
      <c r="N89" s="21">
        <f>T108</f>
        <v>3</v>
      </c>
      <c r="O89" s="171">
        <f>S100</f>
        <v>0</v>
      </c>
      <c r="P89" s="17">
        <f>T100</f>
        <v>0</v>
      </c>
      <c r="Q89" s="171">
        <f>S97</f>
        <v>3</v>
      </c>
      <c r="R89" s="17">
        <f>T97</f>
        <v>2</v>
      </c>
      <c r="S89" s="18">
        <f>IF(SUM(G89:R89)=0,0,COUNTIF(L87:L92,"3"))</f>
        <v>1</v>
      </c>
      <c r="T89" s="19">
        <f>IF(SUM(H89:S89)=0,0,COUNTIF(K87:K92,"3"))</f>
        <v>3</v>
      </c>
      <c r="U89" s="407">
        <f t="shared" si="58"/>
        <v>6</v>
      </c>
      <c r="V89" s="408"/>
      <c r="W89" s="217">
        <v>10</v>
      </c>
      <c r="X89" s="366"/>
      <c r="Y89" s="250">
        <f>IF($T101=3,2,IF($W101=1,0,1))</f>
        <v>1</v>
      </c>
      <c r="Z89" s="250">
        <f>IF($T105=3,2,IF($W105=1,0,1))</f>
        <v>1</v>
      </c>
      <c r="AA89" s="331"/>
      <c r="AB89" s="250">
        <f>IF($S108=3,2,IF($W108=1,0,1))</f>
        <v>1</v>
      </c>
      <c r="AC89" s="250">
        <f>IF($S100=3,2,IF($W100=1,0,1))</f>
        <v>1</v>
      </c>
      <c r="AD89" s="250">
        <f>IF($S97=3,2,IF($W97=1,0,1))</f>
        <v>2</v>
      </c>
      <c r="AE89" s="332">
        <f t="shared" si="59"/>
        <v>6</v>
      </c>
      <c r="AG89" s="380"/>
      <c r="AI89" s="250">
        <f>IF($AG101=1,IF($T101=3,2,IF($W101=1,0,1)),"")</f>
      </c>
      <c r="AJ89" s="250">
        <f>IF($AG105=1,IF($T105=3,2,IF($W105=1,0,1)),"")</f>
      </c>
      <c r="AK89" s="331"/>
      <c r="AL89" s="250">
        <f>IF($AG108=1,IF($S108=3,2,IF($W108=1,0,1)),"")</f>
      </c>
      <c r="AM89" s="250">
        <f>IF($AG100=1,IF($S100=3,2,IF($W100=1,0,1)),"")</f>
      </c>
      <c r="AN89" s="250">
        <f>IF($AG97=1,IF($S97=3,2,IF($W97=1,0,1)),"")</f>
      </c>
      <c r="AO89" s="332">
        <f t="shared" si="60"/>
        <v>0</v>
      </c>
      <c r="AQ89" s="278">
        <f>IF($AG101=1,T101,"")</f>
      </c>
      <c r="AR89" s="282">
        <f>IF($AG101=1,S101,"")</f>
      </c>
      <c r="AS89" s="250">
        <f>IF($AG105=1,T105,"")</f>
      </c>
      <c r="AT89" s="250">
        <f>IF($AG105=1,S105,"")</f>
      </c>
      <c r="AU89" s="248"/>
      <c r="AV89" s="249"/>
      <c r="AW89" s="250">
        <f>IF($AG108=1,S108,"")</f>
      </c>
      <c r="AX89" s="250">
        <f>IF($AG108=1,T108,"")</f>
      </c>
      <c r="AY89" s="250">
        <f>IF($AG100=1,S100,"")</f>
      </c>
      <c r="AZ89" s="250">
        <f>IF($AG100=1,T100,"")</f>
      </c>
      <c r="BA89" s="250">
        <f>IF($AG97=1,S97,"")</f>
      </c>
      <c r="BB89" s="250">
        <f>IF($AG97=1,T97,"")</f>
      </c>
      <c r="BC89" s="263">
        <f>IF(SUM(AQ89:BB89)=0,"",SUM(AV87:AV92))</f>
      </c>
      <c r="BD89" s="301">
        <f>IF(SUM(AQ89:BB89)=0,"",SUM(AU87:AU92))</f>
      </c>
      <c r="BE89" s="326">
        <f t="shared" si="61"/>
      </c>
      <c r="BG89" s="306">
        <f>IF($AG101=1,V101,0)</f>
        <v>0</v>
      </c>
      <c r="BH89" s="287">
        <f>IF($AG101=1,U101,0)</f>
        <v>0</v>
      </c>
      <c r="BI89" s="306">
        <f>IF($AG105=1,V105,0)</f>
        <v>0</v>
      </c>
      <c r="BJ89" s="287">
        <f>IF($AG105=1,U105,0)</f>
        <v>0</v>
      </c>
      <c r="BK89" s="291"/>
      <c r="BL89" s="292"/>
      <c r="BM89" s="306">
        <f>IF($AG108=1,U108,0)</f>
        <v>0</v>
      </c>
      <c r="BN89" s="287">
        <f>IF($AG108=1,V108,0)</f>
        <v>0</v>
      </c>
      <c r="BO89" s="306">
        <f>IF($AG100=1,U100,0)</f>
        <v>0</v>
      </c>
      <c r="BP89" s="287">
        <f>IF($AG100=1,V100,0)</f>
        <v>0</v>
      </c>
      <c r="BQ89" s="306">
        <f>IF($AG97=1,U97,0)</f>
        <v>0</v>
      </c>
      <c r="BR89" s="287">
        <f>IF($AG97=1,V97,0)</f>
        <v>0</v>
      </c>
      <c r="BS89" s="349">
        <f t="shared" si="62"/>
        <v>0</v>
      </c>
      <c r="BT89" s="287">
        <f t="shared" si="63"/>
        <v>0</v>
      </c>
      <c r="BU89" s="356">
        <f t="shared" si="64"/>
      </c>
    </row>
    <row r="90" spans="2:73" ht="15.75">
      <c r="B90" s="33">
        <f t="shared" si="57"/>
        <v>9</v>
      </c>
      <c r="C90" s="236">
        <v>4</v>
      </c>
      <c r="D90" s="314" t="s">
        <v>54</v>
      </c>
      <c r="E90" s="242" t="str">
        <f>VLOOKUP(4,$B$25:$F$28,4,FALSE)</f>
        <v>Sami Ruohonen</v>
      </c>
      <c r="F90" s="164" t="str">
        <f>VLOOKUP(4,$B$25:$F$28,5,FALSE)</f>
        <v>KoKa</v>
      </c>
      <c r="G90" s="169">
        <f>T98</f>
        <v>1</v>
      </c>
      <c r="H90" s="21">
        <f>S98</f>
        <v>3</v>
      </c>
      <c r="I90" s="20">
        <f>T96</f>
        <v>2</v>
      </c>
      <c r="J90" s="21">
        <f>S96</f>
        <v>3</v>
      </c>
      <c r="K90" s="169">
        <f>T108</f>
        <v>3</v>
      </c>
      <c r="L90" s="21">
        <f>S108</f>
        <v>1</v>
      </c>
      <c r="M90" s="172"/>
      <c r="N90" s="23"/>
      <c r="O90" s="171">
        <f>S106</f>
        <v>0</v>
      </c>
      <c r="P90" s="17">
        <f>T106</f>
        <v>0</v>
      </c>
      <c r="Q90" s="171">
        <f>S103</f>
        <v>3</v>
      </c>
      <c r="R90" s="17">
        <f>T103</f>
        <v>1</v>
      </c>
      <c r="S90" s="18">
        <f>IF(SUM(G90:R90)=0,0,COUNTIF(N87:N92,"3"))</f>
        <v>2</v>
      </c>
      <c r="T90" s="19">
        <f>IF(SUM(H90:S90)=0,0,COUNTIF(M87:M92,"3"))</f>
        <v>2</v>
      </c>
      <c r="U90" s="407">
        <f t="shared" si="58"/>
        <v>7</v>
      </c>
      <c r="V90" s="408"/>
      <c r="W90" s="217">
        <v>9</v>
      </c>
      <c r="X90" s="366"/>
      <c r="Y90" s="250">
        <f>IF($T98=3,2,IF($W98=1,0,1))</f>
        <v>1</v>
      </c>
      <c r="Z90" s="250">
        <f>IF($T96=3,2,IF($W96=1,0,1))</f>
        <v>1</v>
      </c>
      <c r="AA90" s="250">
        <f>IF($T108=3,2,IF($W108=1,0,1))</f>
        <v>2</v>
      </c>
      <c r="AB90" s="331"/>
      <c r="AC90" s="250">
        <f>IF($S106=3,2,IF($W106=1,0,1))</f>
        <v>1</v>
      </c>
      <c r="AD90" s="250">
        <f>IF($S103=3,2,IF($W103=1,0,1))</f>
        <v>2</v>
      </c>
      <c r="AE90" s="332">
        <f t="shared" si="59"/>
        <v>7</v>
      </c>
      <c r="AG90" s="380"/>
      <c r="AI90" s="250">
        <f>IF($AG98=1,IF($T98=3,2,IF($W98=1,0,1)),"")</f>
      </c>
      <c r="AJ90" s="250">
        <f>IF($AG96=1,IF($T96=3,2,IF($W96=1,0,1)),"")</f>
      </c>
      <c r="AK90" s="250">
        <f>IF($AG108=1,IF($T108=3,2,IF($W108=1,0,1)),"")</f>
      </c>
      <c r="AL90" s="331"/>
      <c r="AM90" s="250">
        <f>IF($AG106=1,IF($S106=3,2,IF($W106=1,0,1)),"")</f>
      </c>
      <c r="AN90" s="250">
        <f>IF($AG103=1,IF($S103=3,2,IF($W103=1,0,1)),"")</f>
      </c>
      <c r="AO90" s="332">
        <f t="shared" si="60"/>
        <v>0</v>
      </c>
      <c r="AQ90" s="279">
        <f>IF($AG98=1,T98,"")</f>
      </c>
      <c r="AR90" s="283">
        <f>IF($AG98=1,S98,"")</f>
      </c>
      <c r="AS90" s="252">
        <f>IF($AG96=1,T96,"")</f>
      </c>
      <c r="AT90" s="252">
        <f>IF($AG96=1,S96,"")</f>
      </c>
      <c r="AU90" s="252">
        <f>IF($AG108=1,T108,"")</f>
      </c>
      <c r="AV90" s="252">
        <f>IF($AG108=1,S108,"")</f>
      </c>
      <c r="AW90" s="248"/>
      <c r="AX90" s="249"/>
      <c r="AY90" s="250">
        <f>IF($AG106=1,S106,"")</f>
      </c>
      <c r="AZ90" s="250">
        <f>IF($AG106=1,T106,"")</f>
      </c>
      <c r="BA90" s="250">
        <f>IF($AG103=1,S103,"")</f>
      </c>
      <c r="BB90" s="250">
        <f>IF($AG103=1,T103,"")</f>
      </c>
      <c r="BC90" s="263">
        <f>IF(SUM(AQ90:BB90)=0,"",SUM(AX87:AX92))</f>
      </c>
      <c r="BD90" s="301">
        <f>IF(SUM(AQ90:BB90)=0,"",SUM(AW87:AW92))</f>
      </c>
      <c r="BE90" s="326">
        <f t="shared" si="61"/>
      </c>
      <c r="BG90" s="307">
        <f>IF($AG98=1,V98,0)</f>
        <v>0</v>
      </c>
      <c r="BH90" s="304">
        <f>IF($AG98=1,U98,0)</f>
        <v>0</v>
      </c>
      <c r="BI90" s="307">
        <f>IF($AG96=1,V96,0)</f>
        <v>0</v>
      </c>
      <c r="BJ90" s="304">
        <f>IF($AG96=1,U96,0)</f>
        <v>0</v>
      </c>
      <c r="BK90" s="307">
        <f>IF($AG108=1,V108,0)</f>
        <v>0</v>
      </c>
      <c r="BL90" s="304">
        <f>IF($AG108=1,U108,0)</f>
        <v>0</v>
      </c>
      <c r="BM90" s="286"/>
      <c r="BN90" s="286"/>
      <c r="BO90" s="306">
        <f>IF($AG106=1,U106,0)</f>
        <v>0</v>
      </c>
      <c r="BP90" s="287">
        <f>IF($AG106=1,V106,0)</f>
        <v>0</v>
      </c>
      <c r="BQ90" s="306">
        <f>IF($AG103=1,U103,0)</f>
        <v>0</v>
      </c>
      <c r="BR90" s="287">
        <f>IF($AG103=1,V103,0)</f>
        <v>0</v>
      </c>
      <c r="BS90" s="349">
        <f t="shared" si="62"/>
        <v>0</v>
      </c>
      <c r="BT90" s="287">
        <f t="shared" si="63"/>
        <v>0</v>
      </c>
      <c r="BU90" s="356">
        <f t="shared" si="64"/>
      </c>
    </row>
    <row r="91" spans="2:73" ht="15.75">
      <c r="B91" s="33">
        <f t="shared" si="57"/>
        <v>0</v>
      </c>
      <c r="C91" s="236">
        <v>5</v>
      </c>
      <c r="D91" s="314" t="s">
        <v>55</v>
      </c>
      <c r="E91" s="242" t="e">
        <f>VLOOKUP(4,$B$8:$F$11,4,FALSE)</f>
        <v>#N/A</v>
      </c>
      <c r="F91" s="164" t="e">
        <f>VLOOKUP(4,$B$8:$F$11,5,FALSE)</f>
        <v>#N/A</v>
      </c>
      <c r="G91" s="169">
        <f>+T95</f>
        <v>0</v>
      </c>
      <c r="H91" s="21">
        <f>+S95</f>
        <v>0</v>
      </c>
      <c r="I91" s="20">
        <f>T102</f>
        <v>0</v>
      </c>
      <c r="J91" s="21">
        <f>S102</f>
        <v>0</v>
      </c>
      <c r="K91" s="169">
        <f>T100</f>
        <v>0</v>
      </c>
      <c r="L91" s="21">
        <f>S100</f>
        <v>0</v>
      </c>
      <c r="M91" s="169">
        <f>T106</f>
        <v>0</v>
      </c>
      <c r="N91" s="21">
        <f>S106</f>
        <v>0</v>
      </c>
      <c r="O91" s="173"/>
      <c r="P91" s="24"/>
      <c r="Q91" s="171">
        <f>S109</f>
        <v>0</v>
      </c>
      <c r="R91" s="25">
        <f>T109</f>
        <v>0</v>
      </c>
      <c r="S91" s="26">
        <f>IF(SUM(G91:R91)=0,0,COUNTIF(P87:P92,"3"))</f>
        <v>0</v>
      </c>
      <c r="T91" s="19">
        <f>IF(SUM(H91:S91)=0,0,COUNTIF(O87:O92,"3"))</f>
        <v>0</v>
      </c>
      <c r="U91" s="407">
        <f t="shared" si="58"/>
        <v>5</v>
      </c>
      <c r="V91" s="408"/>
      <c r="W91" s="217"/>
      <c r="X91" s="366"/>
      <c r="Y91" s="250">
        <f>IF($T95=3,2,IF($W95=1,0,1))</f>
        <v>1</v>
      </c>
      <c r="Z91" s="250">
        <f>IF($T102=3,2,IF($W102=1,0,1))</f>
        <v>1</v>
      </c>
      <c r="AA91" s="250">
        <f>IF($T100=3,2,IF($W100=1,0,1))</f>
        <v>1</v>
      </c>
      <c r="AB91" s="250">
        <f>IF($T106=3,2,IF($W106=1,0,1))</f>
        <v>1</v>
      </c>
      <c r="AC91" s="331"/>
      <c r="AD91" s="250">
        <f>IF($S109=3,2,IF($W109=1,0,1))</f>
        <v>1</v>
      </c>
      <c r="AE91" s="332">
        <f t="shared" si="59"/>
        <v>5</v>
      </c>
      <c r="AG91" s="380"/>
      <c r="AI91" s="250">
        <f>IF($AG95=1,IF($T95=3,2,IF($W95,0,1)),"")</f>
      </c>
      <c r="AJ91" s="250">
        <f>IF($AG102=1,IF($T102=3,2,IF($W102,0,1)),"")</f>
      </c>
      <c r="AK91" s="250">
        <f>IF($AG100=1,IF($T100=3,2,IF($W101,0,1)),"")</f>
      </c>
      <c r="AL91" s="250">
        <f>IF($AG106=1,IF($T106=3,2,IF($W106,0,1)),"")</f>
      </c>
      <c r="AM91" s="331"/>
      <c r="AN91" s="250">
        <f>IF($AG109=1,IF($S109=3,2,IF($W109=1,0,1)),"")</f>
      </c>
      <c r="AO91" s="332">
        <f t="shared" si="60"/>
        <v>0</v>
      </c>
      <c r="AQ91" s="278">
        <f>IF($AG95=1,T95,"")</f>
      </c>
      <c r="AR91" s="282">
        <f>IF($AG95=1,S95,"")</f>
      </c>
      <c r="AS91" s="250">
        <f>IF($AG102=1,T102,"")</f>
      </c>
      <c r="AT91" s="250">
        <f>IF($AG102=1,S102,"")</f>
      </c>
      <c r="AU91" s="250">
        <f>IF($AG100=1,T100,"")</f>
      </c>
      <c r="AV91" s="250">
        <f>IF($AG100=1,S100,"")</f>
      </c>
      <c r="AW91" s="250">
        <f>IF($AG106=1,T106,"")</f>
      </c>
      <c r="AX91" s="250">
        <f>IF($AG106=1,S106,"")</f>
      </c>
      <c r="AY91" s="248"/>
      <c r="AZ91" s="249"/>
      <c r="BA91" s="250">
        <f>IF($AG109=1,S109,"")</f>
      </c>
      <c r="BB91" s="250">
        <f>IF($AG109=1,T109,"")</f>
      </c>
      <c r="BC91" s="263">
        <f>IF(SUM(AQ91:BB91)=0,"",SUM(AZ87:AZ92))</f>
      </c>
      <c r="BD91" s="301">
        <f>IF(SUM(AQ91:BB91)=0,"",SUM(AY87:AY92))</f>
      </c>
      <c r="BE91" s="326">
        <f t="shared" si="61"/>
      </c>
      <c r="BG91" s="306">
        <f>IF($AG95=1,V95,0)</f>
        <v>0</v>
      </c>
      <c r="BH91" s="287">
        <f>IF($AG95=1,U95,0)</f>
        <v>0</v>
      </c>
      <c r="BI91" s="306">
        <f>IF($AG102=1,V102,0)</f>
        <v>0</v>
      </c>
      <c r="BJ91" s="287">
        <f>IF($AG102=1,U102,0)</f>
        <v>0</v>
      </c>
      <c r="BK91" s="306">
        <f>IF($AG100=1,V100,0)</f>
        <v>0</v>
      </c>
      <c r="BL91" s="287">
        <f>IF($AG100=1,U100,0)</f>
        <v>0</v>
      </c>
      <c r="BM91" s="311">
        <f>IF($AG106=1,V106,0)</f>
        <v>0</v>
      </c>
      <c r="BN91" s="287">
        <f>IF($AG106=1,U106,0)</f>
        <v>0</v>
      </c>
      <c r="BO91" s="291"/>
      <c r="BP91" s="286"/>
      <c r="BQ91" s="306">
        <f>IF($AG109=1,U109,0)</f>
        <v>0</v>
      </c>
      <c r="BR91" s="287">
        <f>IF($AG109=1,V109,0)</f>
        <v>0</v>
      </c>
      <c r="BS91" s="349">
        <f t="shared" si="62"/>
        <v>0</v>
      </c>
      <c r="BT91" s="287">
        <f t="shared" si="63"/>
        <v>0</v>
      </c>
      <c r="BU91" s="356">
        <f t="shared" si="64"/>
      </c>
    </row>
    <row r="92" spans="2:73" ht="16.5" thickBot="1">
      <c r="B92" s="33">
        <f t="shared" si="57"/>
        <v>11</v>
      </c>
      <c r="C92" s="48">
        <v>6</v>
      </c>
      <c r="D92" s="316" t="s">
        <v>56</v>
      </c>
      <c r="E92" s="166" t="str">
        <f>VLOOKUP(4,$B$42:$F$45,4,FALSE)</f>
        <v>Thomas Lundström</v>
      </c>
      <c r="F92" s="165" t="str">
        <f>VLOOKUP(4,$B$42:$F$45,5,FALSE)</f>
        <v>MBF</v>
      </c>
      <c r="G92" s="170">
        <f>T104</f>
        <v>1</v>
      </c>
      <c r="H92" s="117">
        <f>S104</f>
        <v>3</v>
      </c>
      <c r="I92" s="112">
        <f>T99</f>
        <v>2</v>
      </c>
      <c r="J92" s="117">
        <f>S99</f>
        <v>3</v>
      </c>
      <c r="K92" s="170">
        <f>T97</f>
        <v>2</v>
      </c>
      <c r="L92" s="117">
        <f>S97</f>
        <v>3</v>
      </c>
      <c r="M92" s="170">
        <f>T103</f>
        <v>1</v>
      </c>
      <c r="N92" s="117">
        <f>S103</f>
        <v>3</v>
      </c>
      <c r="O92" s="170">
        <f>T109</f>
        <v>0</v>
      </c>
      <c r="P92" s="117">
        <f>S109</f>
        <v>0</v>
      </c>
      <c r="Q92" s="174"/>
      <c r="R92" s="167"/>
      <c r="S92" s="162">
        <f>IF(SUM(G92:R92)=0,0,COUNTIF(R87:R92,"3"))</f>
        <v>0</v>
      </c>
      <c r="T92" s="163">
        <f>IF(SUM(G92:R92)=0,0,COUNTIF(Q87:Q92,"3"))</f>
        <v>4</v>
      </c>
      <c r="U92" s="424">
        <f t="shared" si="58"/>
        <v>5</v>
      </c>
      <c r="V92" s="425"/>
      <c r="W92" s="218">
        <v>11</v>
      </c>
      <c r="X92" s="366"/>
      <c r="Y92" s="250">
        <f>IF($T104=3,2,IF($W104=1,0,1))</f>
        <v>1</v>
      </c>
      <c r="Z92" s="250">
        <f>IF($T99=3,2,IF($W99=1,0,1))</f>
        <v>1</v>
      </c>
      <c r="AA92" s="250">
        <f>IF($T97=3,2,IF($W97=1,0,1))</f>
        <v>1</v>
      </c>
      <c r="AB92" s="250">
        <f>IF($T103=3,2,IF($W103=1,0,1))</f>
        <v>1</v>
      </c>
      <c r="AC92" s="250">
        <f>IF($T109=3,2,IF($W109=1,0,1))</f>
        <v>1</v>
      </c>
      <c r="AD92" s="331"/>
      <c r="AE92" s="332">
        <f t="shared" si="59"/>
        <v>5</v>
      </c>
      <c r="AG92" s="380"/>
      <c r="AI92" s="250">
        <f>IF($AG104=1,IF($T104=3,2,IF($W104=1,0,1)),"")</f>
      </c>
      <c r="AJ92" s="250">
        <f>IF($AG99=1,IF($T99=3,2,IF($W99,0,1)),"")</f>
      </c>
      <c r="AK92" s="250">
        <f>IF($AG97=1,IF($T97=3,2,IF($W97,0,1)),"")</f>
      </c>
      <c r="AL92" s="250">
        <f>IF($AG103=1,IF($T103=3,2,IF($W103,0,1)),"")</f>
      </c>
      <c r="AM92" s="250">
        <f>IF($AG109=1,IF($T109=3,2,IF($W109,0,1)),"")</f>
      </c>
      <c r="AN92" s="331"/>
      <c r="AO92" s="332">
        <f t="shared" si="60"/>
        <v>0</v>
      </c>
      <c r="AQ92" s="280">
        <f>IF($AG104=1,T104,"")</f>
      </c>
      <c r="AR92" s="284">
        <f>IF($AG104=1,S104,"")</f>
      </c>
      <c r="AS92" s="264">
        <f>IF($AG99=1,T99,"")</f>
      </c>
      <c r="AT92" s="264">
        <f>IF($AG99=1,S99,"")</f>
      </c>
      <c r="AU92" s="264">
        <f>IF($AG97=1,T97,"")</f>
      </c>
      <c r="AV92" s="264">
        <f>IF($AG97=1,S97,"")</f>
      </c>
      <c r="AW92" s="264">
        <f>IF($AG103=1,T103,"")</f>
      </c>
      <c r="AX92" s="264">
        <f>IF($AG103=1,S103,"")</f>
      </c>
      <c r="AY92" s="264">
        <f>IF($AG109=1,T109,"")</f>
      </c>
      <c r="AZ92" s="264">
        <f>IF($AG109=1,S109,"")</f>
      </c>
      <c r="BA92" s="265"/>
      <c r="BB92" s="266"/>
      <c r="BC92" s="285">
        <f>IF(SUM(AQ92:BB92)=0,"",SUM(BB87:BB92))</f>
      </c>
      <c r="BD92" s="303">
        <f>IF(SUM(AQ92:BB92)=0,"",SUM(BA87:BA92))</f>
      </c>
      <c r="BE92" s="326">
        <f t="shared" si="61"/>
      </c>
      <c r="BG92" s="308">
        <f>IF($AG104=1,V104,0)</f>
        <v>0</v>
      </c>
      <c r="BH92" s="305">
        <f>IF($AG104=1,U104,0)</f>
        <v>0</v>
      </c>
      <c r="BI92" s="308">
        <f>IF($AG99=1,V99,0)</f>
        <v>0</v>
      </c>
      <c r="BJ92" s="305">
        <f>IF($AG99=1,U99,0)</f>
        <v>0</v>
      </c>
      <c r="BK92" s="308">
        <f>IF($AG97=1,V97,0)</f>
        <v>0</v>
      </c>
      <c r="BL92" s="305">
        <f>IF($AG97=1,U97,0)</f>
        <v>0</v>
      </c>
      <c r="BM92" s="312">
        <f>IF($AG103=1,V103,0)</f>
        <v>0</v>
      </c>
      <c r="BN92" s="305">
        <f>IF($AG103=1,U103,0)</f>
        <v>0</v>
      </c>
      <c r="BO92" s="313">
        <f>IF($AG109=1,V109,0)</f>
        <v>0</v>
      </c>
      <c r="BP92" s="288">
        <f>IF($AG109=1,U109,0)</f>
        <v>0</v>
      </c>
      <c r="BQ92" s="293"/>
      <c r="BR92" s="294"/>
      <c r="BS92" s="350">
        <f t="shared" si="62"/>
        <v>0</v>
      </c>
      <c r="BT92" s="288">
        <f t="shared" si="63"/>
        <v>0</v>
      </c>
      <c r="BU92" s="357">
        <f t="shared" si="64"/>
      </c>
    </row>
    <row r="93" spans="3:31" ht="15">
      <c r="C93" s="52"/>
      <c r="D93" s="228"/>
      <c r="E93" s="67" t="s">
        <v>67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79"/>
      <c r="X93" s="367"/>
      <c r="Y93" s="367"/>
      <c r="Z93" s="367"/>
      <c r="AA93" s="367"/>
      <c r="AB93" s="367"/>
      <c r="AC93" s="367"/>
      <c r="AD93" s="367"/>
      <c r="AE93" s="327"/>
    </row>
    <row r="94" spans="3:33" ht="15.75" thickBot="1">
      <c r="C94" s="48"/>
      <c r="D94" s="234"/>
      <c r="E94" s="66" t="s">
        <v>14</v>
      </c>
      <c r="F94" s="1"/>
      <c r="G94" s="1"/>
      <c r="H94" s="2"/>
      <c r="I94" s="428" t="s">
        <v>15</v>
      </c>
      <c r="J94" s="419"/>
      <c r="K94" s="418" t="s">
        <v>16</v>
      </c>
      <c r="L94" s="419"/>
      <c r="M94" s="418" t="s">
        <v>17</v>
      </c>
      <c r="N94" s="419"/>
      <c r="O94" s="418" t="s">
        <v>18</v>
      </c>
      <c r="P94" s="429"/>
      <c r="Q94" s="418" t="s">
        <v>19</v>
      </c>
      <c r="R94" s="419"/>
      <c r="S94" s="442" t="s">
        <v>20</v>
      </c>
      <c r="T94" s="443"/>
      <c r="U94" s="444" t="s">
        <v>13</v>
      </c>
      <c r="V94" s="445"/>
      <c r="W94" s="377" t="s">
        <v>70</v>
      </c>
      <c r="X94" s="250" t="s">
        <v>80</v>
      </c>
      <c r="Y94" s="250" t="s">
        <v>81</v>
      </c>
      <c r="Z94" s="361"/>
      <c r="AA94" s="361"/>
      <c r="AB94" s="361"/>
      <c r="AC94" s="361"/>
      <c r="AD94" s="361"/>
      <c r="AE94" s="327"/>
      <c r="AF94" s="13"/>
      <c r="AG94" s="13"/>
    </row>
    <row r="95" spans="3:44" ht="15">
      <c r="C95" s="53" t="s">
        <v>29</v>
      </c>
      <c r="D95" s="229"/>
      <c r="E95" s="81" t="str">
        <f>IF(E87&gt;0,E87,0)</f>
        <v>Aleksi Mustonen</v>
      </c>
      <c r="F95" s="76" t="e">
        <f>IF(E91&gt;0,E91,0)</f>
        <v>#N/A</v>
      </c>
      <c r="G95" s="3"/>
      <c r="H95" s="4"/>
      <c r="I95" s="426"/>
      <c r="J95" s="430"/>
      <c r="K95" s="426"/>
      <c r="L95" s="430"/>
      <c r="M95" s="431"/>
      <c r="N95" s="430"/>
      <c r="O95" s="426"/>
      <c r="P95" s="430"/>
      <c r="Q95" s="426"/>
      <c r="R95" s="427"/>
      <c r="S95" s="219">
        <f aca="true" t="shared" si="65" ref="S95:S109">IF(COUNT(I95:Q95)=0,0,COUNTIF(I95:Q95,"&gt;=0"))</f>
        <v>0</v>
      </c>
      <c r="T95" s="222">
        <f aca="true" t="shared" si="66" ref="T95:T109">IF(COUNTA(I95:Q95)=0,0,(IF(LEFT(I95,1)="-",1,0)+IF(LEFT(K95,1)="-",1,0)+IF(LEFT(M95,1)="-",1,0)+IF(LEFT(O95,1)="-",1,0)+IF(LEFT(Q95,1)="-",1,0)))</f>
        <v>0</v>
      </c>
      <c r="U95" s="179">
        <f>+AI95+AK95+AM95+AO95+AQ95</f>
        <v>0</v>
      </c>
      <c r="V95" s="180">
        <f>+AJ95+AL95+AN95+AP95+AR95</f>
        <v>0</v>
      </c>
      <c r="W95" s="380"/>
      <c r="X95" s="397"/>
      <c r="Y95" s="397"/>
      <c r="Z95" s="361"/>
      <c r="AA95" s="361"/>
      <c r="AB95" s="361"/>
      <c r="AC95" s="361"/>
      <c r="AD95" s="361"/>
      <c r="AE95" s="327"/>
      <c r="AG95" s="253">
        <f>IF(AND(AG87=1,AG91=1),1,"")</f>
      </c>
      <c r="AI95" s="6">
        <f aca="true" t="shared" si="67" ref="AI95:AI109">IF(I95="",0,IF(LEFT(I95,1)="-",ABS(I95),(IF(I95&gt;9,I95+2,11))))</f>
        <v>0</v>
      </c>
      <c r="AJ95" s="7">
        <f aca="true" t="shared" si="68" ref="AJ95:AJ109">IF(I95="",0,IF(LEFT(I95,1)="-",(IF(ABS(I95)&gt;9,(ABS(I95)+2),11)),I95))</f>
        <v>0</v>
      </c>
      <c r="AK95" s="6">
        <f aca="true" t="shared" si="69" ref="AK95:AK109">IF(K95="",0,IF(LEFT(K95,1)="-",ABS(K95),(IF(K95&gt;9,K95+2,11))))</f>
        <v>0</v>
      </c>
      <c r="AL95" s="7">
        <f aca="true" t="shared" si="70" ref="AL95:AL109">IF(K95="",0,IF(LEFT(K95,1)="-",(IF(ABS(K95)&gt;9,(ABS(K95)+2),11)),K95))</f>
        <v>0</v>
      </c>
      <c r="AM95" s="6">
        <f aca="true" t="shared" si="71" ref="AM95:AM109">IF(M95="",0,IF(LEFT(M95,1)="-",ABS(M95),(IF(M95&gt;9,M95+2,11))))</f>
        <v>0</v>
      </c>
      <c r="AN95" s="7">
        <f aca="true" t="shared" si="72" ref="AN95:AN109">IF(M95="",0,IF(LEFT(M95,1)="-",(IF(ABS(M95)&gt;9,(ABS(M95)+2),11)),M95))</f>
        <v>0</v>
      </c>
      <c r="AO95" s="6">
        <f aca="true" t="shared" si="73" ref="AO95:AO109">IF(O95="",0,IF(LEFT(O95,1)="-",ABS(O95),(IF(O95&gt;9,O95+2,11))))</f>
        <v>0</v>
      </c>
      <c r="AP95" s="7">
        <f aca="true" t="shared" si="74" ref="AP95:AP109">IF(O95="",0,IF(LEFT(O95,1)="-",(IF(ABS(O95)&gt;9,(ABS(O95)+2),11)),O95))</f>
        <v>0</v>
      </c>
      <c r="AQ95" s="6">
        <f aca="true" t="shared" si="75" ref="AQ95:AQ109">IF(Q95="",0,IF(LEFT(Q95,1)="-",ABS(Q95),(IF(Q95&gt;9,Q95+2,11))))</f>
        <v>0</v>
      </c>
      <c r="AR95" s="7">
        <f aca="true" t="shared" si="76" ref="AR95:AR109">IF(Q95="",0,IF(LEFT(Q95,1)="-",(IF(ABS(Q95)&gt;9,(ABS(Q95)+2),11)),Q95))</f>
        <v>0</v>
      </c>
    </row>
    <row r="96" spans="3:44" ht="15">
      <c r="C96" s="53" t="s">
        <v>22</v>
      </c>
      <c r="D96" s="229"/>
      <c r="E96" s="82" t="str">
        <f>IF(E88&gt;0,E88,0)</f>
        <v>Mika Rauvola</v>
      </c>
      <c r="F96" s="76" t="str">
        <f>IF(E90&gt;0,E90,0)</f>
        <v>Sami Ruohonen</v>
      </c>
      <c r="G96" s="8"/>
      <c r="H96" s="4"/>
      <c r="I96" s="416">
        <v>9</v>
      </c>
      <c r="J96" s="417"/>
      <c r="K96" s="416">
        <v>-7</v>
      </c>
      <c r="L96" s="417"/>
      <c r="M96" s="416">
        <v>-6</v>
      </c>
      <c r="N96" s="417"/>
      <c r="O96" s="416">
        <v>7</v>
      </c>
      <c r="P96" s="417"/>
      <c r="Q96" s="416">
        <v>7</v>
      </c>
      <c r="R96" s="420"/>
      <c r="S96" s="220">
        <f t="shared" si="65"/>
        <v>3</v>
      </c>
      <c r="T96" s="223">
        <f t="shared" si="66"/>
        <v>2</v>
      </c>
      <c r="U96" s="181">
        <f aca="true" t="shared" si="77" ref="U96:V109">+AI96+AK96+AM96+AO96+AQ96</f>
        <v>46</v>
      </c>
      <c r="V96" s="27">
        <f t="shared" si="77"/>
        <v>45</v>
      </c>
      <c r="W96" s="380"/>
      <c r="X96" s="397"/>
      <c r="Y96" s="397"/>
      <c r="Z96" s="361"/>
      <c r="AA96" s="361"/>
      <c r="AB96" s="361"/>
      <c r="AC96" s="361"/>
      <c r="AD96" s="361"/>
      <c r="AE96" s="327"/>
      <c r="AG96" s="253">
        <f>IF(AND(AG88=1,AG90=1),1,"")</f>
      </c>
      <c r="AI96" s="9">
        <f t="shared" si="67"/>
        <v>11</v>
      </c>
      <c r="AJ96" s="10">
        <f t="shared" si="68"/>
        <v>9</v>
      </c>
      <c r="AK96" s="9">
        <f t="shared" si="69"/>
        <v>7</v>
      </c>
      <c r="AL96" s="10">
        <f t="shared" si="70"/>
        <v>11</v>
      </c>
      <c r="AM96" s="9">
        <f t="shared" si="71"/>
        <v>6</v>
      </c>
      <c r="AN96" s="10">
        <f t="shared" si="72"/>
        <v>11</v>
      </c>
      <c r="AO96" s="9">
        <f t="shared" si="73"/>
        <v>11</v>
      </c>
      <c r="AP96" s="10">
        <f t="shared" si="74"/>
        <v>7</v>
      </c>
      <c r="AQ96" s="9">
        <f t="shared" si="75"/>
        <v>11</v>
      </c>
      <c r="AR96" s="10">
        <f t="shared" si="76"/>
        <v>7</v>
      </c>
    </row>
    <row r="97" spans="3:44" ht="15.75" thickBot="1">
      <c r="C97" s="56" t="s">
        <v>30</v>
      </c>
      <c r="D97" s="230"/>
      <c r="E97" s="84" t="str">
        <f>IF(E89&gt;0,E89,0)</f>
        <v>Tero Tamminen</v>
      </c>
      <c r="F97" s="78" t="str">
        <f>IF(E92&gt;0,E92,0)</f>
        <v>Thomas Lundström</v>
      </c>
      <c r="G97" s="1"/>
      <c r="H97" s="28"/>
      <c r="I97" s="421">
        <v>10</v>
      </c>
      <c r="J97" s="422"/>
      <c r="K97" s="421">
        <v>11</v>
      </c>
      <c r="L97" s="422"/>
      <c r="M97" s="421">
        <v>-10</v>
      </c>
      <c r="N97" s="422"/>
      <c r="O97" s="421">
        <v>-10</v>
      </c>
      <c r="P97" s="422"/>
      <c r="Q97" s="421">
        <v>7</v>
      </c>
      <c r="R97" s="423"/>
      <c r="S97" s="221">
        <f t="shared" si="65"/>
        <v>3</v>
      </c>
      <c r="T97" s="224">
        <f t="shared" si="66"/>
        <v>2</v>
      </c>
      <c r="U97" s="182">
        <f t="shared" si="77"/>
        <v>56</v>
      </c>
      <c r="V97" s="183">
        <f t="shared" si="77"/>
        <v>52</v>
      </c>
      <c r="W97" s="380"/>
      <c r="X97" s="397"/>
      <c r="Y97" s="397"/>
      <c r="Z97" s="361"/>
      <c r="AA97" s="361"/>
      <c r="AB97" s="361"/>
      <c r="AC97" s="361"/>
      <c r="AD97" s="361"/>
      <c r="AE97" s="327"/>
      <c r="AG97" s="253">
        <f>IF(AND(AG89=1,AG92=1),1,"")</f>
      </c>
      <c r="AI97" s="9">
        <f t="shared" si="67"/>
        <v>12</v>
      </c>
      <c r="AJ97" s="10">
        <f t="shared" si="68"/>
        <v>10</v>
      </c>
      <c r="AK97" s="9">
        <f t="shared" si="69"/>
        <v>13</v>
      </c>
      <c r="AL97" s="10">
        <f t="shared" si="70"/>
        <v>11</v>
      </c>
      <c r="AM97" s="9">
        <f t="shared" si="71"/>
        <v>10</v>
      </c>
      <c r="AN97" s="10">
        <f t="shared" si="72"/>
        <v>12</v>
      </c>
      <c r="AO97" s="9">
        <f t="shared" si="73"/>
        <v>10</v>
      </c>
      <c r="AP97" s="10">
        <f t="shared" si="74"/>
        <v>12</v>
      </c>
      <c r="AQ97" s="9">
        <f t="shared" si="75"/>
        <v>11</v>
      </c>
      <c r="AR97" s="10">
        <f t="shared" si="76"/>
        <v>7</v>
      </c>
    </row>
    <row r="98" spans="3:44" ht="15">
      <c r="C98" s="53" t="s">
        <v>23</v>
      </c>
      <c r="D98" s="229"/>
      <c r="E98" s="82" t="str">
        <f>IF(E87&gt;0,E87,0)</f>
        <v>Aleksi Mustonen</v>
      </c>
      <c r="F98" s="76" t="str">
        <f>IF(E90&gt;0,E90,0)</f>
        <v>Sami Ruohonen</v>
      </c>
      <c r="G98" s="3"/>
      <c r="H98" s="4"/>
      <c r="I98" s="405">
        <v>9</v>
      </c>
      <c r="J98" s="410"/>
      <c r="K98" s="405">
        <v>3</v>
      </c>
      <c r="L98" s="410"/>
      <c r="M98" s="405">
        <v>-9</v>
      </c>
      <c r="N98" s="410"/>
      <c r="O98" s="405">
        <v>5</v>
      </c>
      <c r="P98" s="410"/>
      <c r="Q98" s="405"/>
      <c r="R98" s="406"/>
      <c r="S98" s="219">
        <f t="shared" si="65"/>
        <v>3</v>
      </c>
      <c r="T98" s="222">
        <f t="shared" si="66"/>
        <v>1</v>
      </c>
      <c r="U98" s="177">
        <f t="shared" si="77"/>
        <v>42</v>
      </c>
      <c r="V98" s="178">
        <f t="shared" si="77"/>
        <v>28</v>
      </c>
      <c r="W98" s="380"/>
      <c r="X98" s="397"/>
      <c r="Y98" s="397"/>
      <c r="Z98" s="361"/>
      <c r="AA98" s="361"/>
      <c r="AB98" s="361"/>
      <c r="AC98" s="361"/>
      <c r="AD98" s="361"/>
      <c r="AE98" s="327"/>
      <c r="AG98" s="253">
        <f>IF(AND(AG87=1,AG90=1),1,"")</f>
      </c>
      <c r="AI98" s="9">
        <f t="shared" si="67"/>
        <v>11</v>
      </c>
      <c r="AJ98" s="10">
        <f t="shared" si="68"/>
        <v>9</v>
      </c>
      <c r="AK98" s="9">
        <f t="shared" si="69"/>
        <v>11</v>
      </c>
      <c r="AL98" s="10">
        <f t="shared" si="70"/>
        <v>3</v>
      </c>
      <c r="AM98" s="9">
        <f t="shared" si="71"/>
        <v>9</v>
      </c>
      <c r="AN98" s="10">
        <f t="shared" si="72"/>
        <v>11</v>
      </c>
      <c r="AO98" s="9">
        <f t="shared" si="73"/>
        <v>11</v>
      </c>
      <c r="AP98" s="10">
        <f t="shared" si="74"/>
        <v>5</v>
      </c>
      <c r="AQ98" s="9">
        <f t="shared" si="75"/>
        <v>0</v>
      </c>
      <c r="AR98" s="10">
        <f t="shared" si="76"/>
        <v>0</v>
      </c>
    </row>
    <row r="99" spans="3:44" ht="15">
      <c r="C99" s="53" t="s">
        <v>31</v>
      </c>
      <c r="D99" s="229"/>
      <c r="E99" s="82" t="str">
        <f>IF(E88&gt;0,E88,0)</f>
        <v>Mika Rauvola</v>
      </c>
      <c r="F99" s="76" t="str">
        <f>IF(E92&gt;0,E92,0)</f>
        <v>Thomas Lundström</v>
      </c>
      <c r="G99" s="8"/>
      <c r="H99" s="4"/>
      <c r="I99" s="413">
        <v>4</v>
      </c>
      <c r="J99" s="414"/>
      <c r="K99" s="413">
        <v>-5</v>
      </c>
      <c r="L99" s="414"/>
      <c r="M99" s="413">
        <v>14</v>
      </c>
      <c r="N99" s="414"/>
      <c r="O99" s="398">
        <v>-7</v>
      </c>
      <c r="P99" s="409"/>
      <c r="Q99" s="398">
        <v>10</v>
      </c>
      <c r="R99" s="399"/>
      <c r="S99" s="220">
        <f t="shared" si="65"/>
        <v>3</v>
      </c>
      <c r="T99" s="223">
        <f t="shared" si="66"/>
        <v>2</v>
      </c>
      <c r="U99" s="31">
        <f t="shared" si="77"/>
        <v>51</v>
      </c>
      <c r="V99" s="27">
        <f t="shared" si="77"/>
        <v>50</v>
      </c>
      <c r="W99" s="380"/>
      <c r="X99" s="397"/>
      <c r="Y99" s="397"/>
      <c r="Z99" s="361"/>
      <c r="AA99" s="361"/>
      <c r="AB99" s="361"/>
      <c r="AC99" s="361"/>
      <c r="AD99" s="361"/>
      <c r="AE99" s="327"/>
      <c r="AG99" s="253">
        <f>IF(AND(AG88=1,AG92=1),1,"")</f>
      </c>
      <c r="AI99" s="9">
        <f t="shared" si="67"/>
        <v>11</v>
      </c>
      <c r="AJ99" s="10">
        <f t="shared" si="68"/>
        <v>4</v>
      </c>
      <c r="AK99" s="9">
        <f t="shared" si="69"/>
        <v>5</v>
      </c>
      <c r="AL99" s="10">
        <f t="shared" si="70"/>
        <v>11</v>
      </c>
      <c r="AM99" s="9">
        <f t="shared" si="71"/>
        <v>16</v>
      </c>
      <c r="AN99" s="10">
        <f t="shared" si="72"/>
        <v>14</v>
      </c>
      <c r="AO99" s="9">
        <f t="shared" si="73"/>
        <v>7</v>
      </c>
      <c r="AP99" s="10">
        <f t="shared" si="74"/>
        <v>11</v>
      </c>
      <c r="AQ99" s="9">
        <f t="shared" si="75"/>
        <v>12</v>
      </c>
      <c r="AR99" s="10">
        <f t="shared" si="76"/>
        <v>10</v>
      </c>
    </row>
    <row r="100" spans="3:44" ht="15.75" thickBot="1">
      <c r="C100" s="56" t="s">
        <v>32</v>
      </c>
      <c r="D100" s="230"/>
      <c r="E100" s="84" t="str">
        <f>IF(E89&gt;0,E89,0)</f>
        <v>Tero Tamminen</v>
      </c>
      <c r="F100" s="78" t="e">
        <f>IF(E91&gt;0,E91,0)</f>
        <v>#N/A</v>
      </c>
      <c r="G100" s="1"/>
      <c r="H100" s="28"/>
      <c r="I100" s="415"/>
      <c r="J100" s="402"/>
      <c r="K100" s="415"/>
      <c r="L100" s="402"/>
      <c r="M100" s="415"/>
      <c r="N100" s="402"/>
      <c r="O100" s="400"/>
      <c r="P100" s="402"/>
      <c r="Q100" s="400"/>
      <c r="R100" s="401"/>
      <c r="S100" s="221">
        <f t="shared" si="65"/>
        <v>0</v>
      </c>
      <c r="T100" s="224">
        <f t="shared" si="66"/>
        <v>0</v>
      </c>
      <c r="U100" s="184">
        <f t="shared" si="77"/>
        <v>0</v>
      </c>
      <c r="V100" s="185">
        <f t="shared" si="77"/>
        <v>0</v>
      </c>
      <c r="W100" s="380"/>
      <c r="X100" s="397"/>
      <c r="Y100" s="397"/>
      <c r="Z100" s="361"/>
      <c r="AA100" s="361"/>
      <c r="AB100" s="361"/>
      <c r="AC100" s="361"/>
      <c r="AD100" s="361"/>
      <c r="AE100" s="327"/>
      <c r="AG100" s="253">
        <f>IF(AND(AG89=1,AG91=1),1,"")</f>
      </c>
      <c r="AI100" s="11">
        <f t="shared" si="67"/>
        <v>0</v>
      </c>
      <c r="AJ100" s="12">
        <f t="shared" si="68"/>
        <v>0</v>
      </c>
      <c r="AK100" s="11">
        <f t="shared" si="69"/>
        <v>0</v>
      </c>
      <c r="AL100" s="12">
        <f t="shared" si="70"/>
        <v>0</v>
      </c>
      <c r="AM100" s="11">
        <f t="shared" si="71"/>
        <v>0</v>
      </c>
      <c r="AN100" s="12">
        <f t="shared" si="72"/>
        <v>0</v>
      </c>
      <c r="AO100" s="11">
        <f t="shared" si="73"/>
        <v>0</v>
      </c>
      <c r="AP100" s="12">
        <f t="shared" si="74"/>
        <v>0</v>
      </c>
      <c r="AQ100" s="11">
        <f t="shared" si="75"/>
        <v>0</v>
      </c>
      <c r="AR100" s="12">
        <f t="shared" si="76"/>
        <v>0</v>
      </c>
    </row>
    <row r="101" spans="3:44" ht="15">
      <c r="C101" s="53" t="s">
        <v>21</v>
      </c>
      <c r="D101" s="229"/>
      <c r="E101" s="82" t="str">
        <f>IF(E87&gt;0,E87,0)</f>
        <v>Aleksi Mustonen</v>
      </c>
      <c r="F101" s="76" t="str">
        <f>IF(E89&gt;0,E89,0)</f>
        <v>Tero Tamminen</v>
      </c>
      <c r="G101" s="3"/>
      <c r="H101" s="4"/>
      <c r="I101" s="405">
        <v>7</v>
      </c>
      <c r="J101" s="410"/>
      <c r="K101" s="405">
        <v>4</v>
      </c>
      <c r="L101" s="410"/>
      <c r="M101" s="405">
        <v>6</v>
      </c>
      <c r="N101" s="410"/>
      <c r="O101" s="405"/>
      <c r="P101" s="410"/>
      <c r="Q101" s="405"/>
      <c r="R101" s="406"/>
      <c r="S101" s="219">
        <f t="shared" si="65"/>
        <v>3</v>
      </c>
      <c r="T101" s="222">
        <f t="shared" si="66"/>
        <v>0</v>
      </c>
      <c r="U101" s="179">
        <f t="shared" si="77"/>
        <v>33</v>
      </c>
      <c r="V101" s="180">
        <f t="shared" si="77"/>
        <v>17</v>
      </c>
      <c r="W101" s="380"/>
      <c r="X101" s="397"/>
      <c r="Y101" s="397"/>
      <c r="Z101" s="361"/>
      <c r="AA101" s="361"/>
      <c r="AB101" s="361"/>
      <c r="AC101" s="361"/>
      <c r="AD101" s="361"/>
      <c r="AE101" s="327"/>
      <c r="AG101" s="253">
        <f>IF(AND(AG87=1,AG89=1),1,"")</f>
      </c>
      <c r="AI101" s="6">
        <f t="shared" si="67"/>
        <v>11</v>
      </c>
      <c r="AJ101" s="7">
        <f t="shared" si="68"/>
        <v>7</v>
      </c>
      <c r="AK101" s="6">
        <f t="shared" si="69"/>
        <v>11</v>
      </c>
      <c r="AL101" s="7">
        <f t="shared" si="70"/>
        <v>4</v>
      </c>
      <c r="AM101" s="6">
        <f t="shared" si="71"/>
        <v>11</v>
      </c>
      <c r="AN101" s="7">
        <f t="shared" si="72"/>
        <v>6</v>
      </c>
      <c r="AO101" s="6">
        <f t="shared" si="73"/>
        <v>0</v>
      </c>
      <c r="AP101" s="7">
        <f t="shared" si="74"/>
        <v>0</v>
      </c>
      <c r="AQ101" s="6">
        <f t="shared" si="75"/>
        <v>0</v>
      </c>
      <c r="AR101" s="7">
        <f t="shared" si="76"/>
        <v>0</v>
      </c>
    </row>
    <row r="102" spans="3:44" ht="15">
      <c r="C102" s="53" t="s">
        <v>33</v>
      </c>
      <c r="D102" s="229"/>
      <c r="E102" s="82" t="str">
        <f>IF(E88&gt;0,E88,0)</f>
        <v>Mika Rauvola</v>
      </c>
      <c r="F102" s="76" t="e">
        <f>IF(E91&gt;0,E91,0)</f>
        <v>#N/A</v>
      </c>
      <c r="G102" s="8"/>
      <c r="H102" s="4"/>
      <c r="I102" s="413"/>
      <c r="J102" s="414"/>
      <c r="K102" s="413"/>
      <c r="L102" s="414"/>
      <c r="M102" s="413"/>
      <c r="N102" s="414"/>
      <c r="O102" s="398"/>
      <c r="P102" s="409"/>
      <c r="Q102" s="398"/>
      <c r="R102" s="399"/>
      <c r="S102" s="220">
        <f t="shared" si="65"/>
        <v>0</v>
      </c>
      <c r="T102" s="223">
        <f t="shared" si="66"/>
        <v>0</v>
      </c>
      <c r="U102" s="181">
        <f t="shared" si="77"/>
        <v>0</v>
      </c>
      <c r="V102" s="27">
        <f t="shared" si="77"/>
        <v>0</v>
      </c>
      <c r="W102" s="380"/>
      <c r="X102" s="397"/>
      <c r="Y102" s="397"/>
      <c r="Z102" s="361"/>
      <c r="AA102" s="361"/>
      <c r="AB102" s="361"/>
      <c r="AC102" s="361"/>
      <c r="AD102" s="361"/>
      <c r="AE102" s="327"/>
      <c r="AG102" s="253">
        <f>IF(AND(AG88=1,AG91=1),1,"")</f>
      </c>
      <c r="AI102" s="9">
        <f t="shared" si="67"/>
        <v>0</v>
      </c>
      <c r="AJ102" s="10">
        <f t="shared" si="68"/>
        <v>0</v>
      </c>
      <c r="AK102" s="9">
        <f t="shared" si="69"/>
        <v>0</v>
      </c>
      <c r="AL102" s="10">
        <f t="shared" si="70"/>
        <v>0</v>
      </c>
      <c r="AM102" s="9">
        <f t="shared" si="71"/>
        <v>0</v>
      </c>
      <c r="AN102" s="10">
        <f t="shared" si="72"/>
        <v>0</v>
      </c>
      <c r="AO102" s="9">
        <f t="shared" si="73"/>
        <v>0</v>
      </c>
      <c r="AP102" s="10">
        <f t="shared" si="74"/>
        <v>0</v>
      </c>
      <c r="AQ102" s="9">
        <f t="shared" si="75"/>
        <v>0</v>
      </c>
      <c r="AR102" s="10">
        <f t="shared" si="76"/>
        <v>0</v>
      </c>
    </row>
    <row r="103" spans="3:44" ht="15.75" thickBot="1">
      <c r="C103" s="56" t="s">
        <v>34</v>
      </c>
      <c r="D103" s="230"/>
      <c r="E103" s="84" t="str">
        <f>IF(E90&gt;0,E90,0)</f>
        <v>Sami Ruohonen</v>
      </c>
      <c r="F103" s="78" t="str">
        <f>IF(E92&gt;0,E92,0)</f>
        <v>Thomas Lundström</v>
      </c>
      <c r="G103" s="1"/>
      <c r="H103" s="28"/>
      <c r="I103" s="400">
        <v>11</v>
      </c>
      <c r="J103" s="402"/>
      <c r="K103" s="400">
        <v>10</v>
      </c>
      <c r="L103" s="402"/>
      <c r="M103" s="400">
        <v>-7</v>
      </c>
      <c r="N103" s="402"/>
      <c r="O103" s="400">
        <v>7</v>
      </c>
      <c r="P103" s="402"/>
      <c r="Q103" s="400"/>
      <c r="R103" s="401"/>
      <c r="S103" s="221">
        <f t="shared" si="65"/>
        <v>3</v>
      </c>
      <c r="T103" s="224">
        <f t="shared" si="66"/>
        <v>1</v>
      </c>
      <c r="U103" s="182">
        <f t="shared" si="77"/>
        <v>43</v>
      </c>
      <c r="V103" s="183">
        <f t="shared" si="77"/>
        <v>39</v>
      </c>
      <c r="W103" s="380"/>
      <c r="X103" s="397"/>
      <c r="Y103" s="397"/>
      <c r="Z103" s="361"/>
      <c r="AA103" s="361"/>
      <c r="AB103" s="361"/>
      <c r="AC103" s="361"/>
      <c r="AD103" s="361"/>
      <c r="AE103" s="327"/>
      <c r="AG103" s="253">
        <f>IF(AND(AG90=1,AG92=1),1,"")</f>
      </c>
      <c r="AH103" s="13"/>
      <c r="AI103" s="9">
        <f t="shared" si="67"/>
        <v>13</v>
      </c>
      <c r="AJ103" s="10">
        <f t="shared" si="68"/>
        <v>11</v>
      </c>
      <c r="AK103" s="9">
        <f t="shared" si="69"/>
        <v>12</v>
      </c>
      <c r="AL103" s="10">
        <f t="shared" si="70"/>
        <v>10</v>
      </c>
      <c r="AM103" s="9">
        <f t="shared" si="71"/>
        <v>7</v>
      </c>
      <c r="AN103" s="10">
        <f t="shared" si="72"/>
        <v>11</v>
      </c>
      <c r="AO103" s="9">
        <f t="shared" si="73"/>
        <v>11</v>
      </c>
      <c r="AP103" s="10">
        <f t="shared" si="74"/>
        <v>7</v>
      </c>
      <c r="AQ103" s="9">
        <f t="shared" si="75"/>
        <v>0</v>
      </c>
      <c r="AR103" s="10">
        <f t="shared" si="76"/>
        <v>0</v>
      </c>
    </row>
    <row r="104" spans="3:44" ht="15">
      <c r="C104" s="53" t="s">
        <v>35</v>
      </c>
      <c r="D104" s="229"/>
      <c r="E104" s="82" t="str">
        <f>IF(E87&gt;0,E87,0)</f>
        <v>Aleksi Mustonen</v>
      </c>
      <c r="F104" s="76" t="str">
        <f>IF(E92&gt;0,E92,0)</f>
        <v>Thomas Lundström</v>
      </c>
      <c r="G104" s="3"/>
      <c r="H104" s="4"/>
      <c r="I104" s="405">
        <v>8</v>
      </c>
      <c r="J104" s="410"/>
      <c r="K104" s="405">
        <v>-6</v>
      </c>
      <c r="L104" s="410"/>
      <c r="M104" s="405">
        <v>8</v>
      </c>
      <c r="N104" s="410"/>
      <c r="O104" s="405">
        <v>6</v>
      </c>
      <c r="P104" s="410"/>
      <c r="Q104" s="405"/>
      <c r="R104" s="406"/>
      <c r="S104" s="219">
        <f t="shared" si="65"/>
        <v>3</v>
      </c>
      <c r="T104" s="222">
        <f t="shared" si="66"/>
        <v>1</v>
      </c>
      <c r="U104" s="177">
        <f t="shared" si="77"/>
        <v>39</v>
      </c>
      <c r="V104" s="178">
        <f t="shared" si="77"/>
        <v>33</v>
      </c>
      <c r="W104" s="380"/>
      <c r="X104" s="397"/>
      <c r="Y104" s="397"/>
      <c r="Z104" s="361"/>
      <c r="AA104" s="361"/>
      <c r="AB104" s="361"/>
      <c r="AC104" s="361"/>
      <c r="AD104" s="361"/>
      <c r="AE104" s="327"/>
      <c r="AG104" s="253">
        <f>IF(AND(AG87=1,AG92=1),1,"")</f>
      </c>
      <c r="AH104" s="13"/>
      <c r="AI104" s="9">
        <f t="shared" si="67"/>
        <v>11</v>
      </c>
      <c r="AJ104" s="10">
        <f t="shared" si="68"/>
        <v>8</v>
      </c>
      <c r="AK104" s="9">
        <f t="shared" si="69"/>
        <v>6</v>
      </c>
      <c r="AL104" s="10">
        <f t="shared" si="70"/>
        <v>11</v>
      </c>
      <c r="AM104" s="9">
        <f t="shared" si="71"/>
        <v>11</v>
      </c>
      <c r="AN104" s="10">
        <f t="shared" si="72"/>
        <v>8</v>
      </c>
      <c r="AO104" s="9">
        <f t="shared" si="73"/>
        <v>11</v>
      </c>
      <c r="AP104" s="10">
        <f t="shared" si="74"/>
        <v>6</v>
      </c>
      <c r="AQ104" s="9">
        <f t="shared" si="75"/>
        <v>0</v>
      </c>
      <c r="AR104" s="10">
        <f t="shared" si="76"/>
        <v>0</v>
      </c>
    </row>
    <row r="105" spans="3:44" ht="15">
      <c r="C105" s="53" t="s">
        <v>24</v>
      </c>
      <c r="D105" s="229"/>
      <c r="E105" s="82" t="str">
        <f>IF(E88&gt;0,E88,0)</f>
        <v>Mika Rauvola</v>
      </c>
      <c r="F105" s="76" t="str">
        <f>IF(E89&gt;0,E89,0)</f>
        <v>Tero Tamminen</v>
      </c>
      <c r="G105" s="8"/>
      <c r="H105" s="4"/>
      <c r="I105" s="412">
        <v>6</v>
      </c>
      <c r="J105" s="409"/>
      <c r="K105" s="412">
        <v>-9</v>
      </c>
      <c r="L105" s="409"/>
      <c r="M105" s="398">
        <v>-9</v>
      </c>
      <c r="N105" s="409"/>
      <c r="O105" s="398">
        <v>7</v>
      </c>
      <c r="P105" s="409"/>
      <c r="Q105" s="398">
        <v>9</v>
      </c>
      <c r="R105" s="399"/>
      <c r="S105" s="220">
        <f t="shared" si="65"/>
        <v>3</v>
      </c>
      <c r="T105" s="223">
        <f t="shared" si="66"/>
        <v>2</v>
      </c>
      <c r="U105" s="31">
        <f t="shared" si="77"/>
        <v>51</v>
      </c>
      <c r="V105" s="27">
        <f t="shared" si="77"/>
        <v>44</v>
      </c>
      <c r="W105" s="380"/>
      <c r="X105" s="397"/>
      <c r="Y105" s="397"/>
      <c r="Z105" s="361"/>
      <c r="AA105" s="361"/>
      <c r="AB105" s="361"/>
      <c r="AC105" s="361"/>
      <c r="AD105" s="361"/>
      <c r="AE105" s="327"/>
      <c r="AG105" s="253">
        <f>IF(AND(AG88=1,AG89=1),1,"")</f>
      </c>
      <c r="AH105" s="13"/>
      <c r="AI105" s="9">
        <f t="shared" si="67"/>
        <v>11</v>
      </c>
      <c r="AJ105" s="10">
        <f t="shared" si="68"/>
        <v>6</v>
      </c>
      <c r="AK105" s="9">
        <f t="shared" si="69"/>
        <v>9</v>
      </c>
      <c r="AL105" s="10">
        <f t="shared" si="70"/>
        <v>11</v>
      </c>
      <c r="AM105" s="9">
        <f t="shared" si="71"/>
        <v>9</v>
      </c>
      <c r="AN105" s="10">
        <f t="shared" si="72"/>
        <v>11</v>
      </c>
      <c r="AO105" s="9">
        <f t="shared" si="73"/>
        <v>11</v>
      </c>
      <c r="AP105" s="10">
        <f t="shared" si="74"/>
        <v>7</v>
      </c>
      <c r="AQ105" s="9">
        <f t="shared" si="75"/>
        <v>11</v>
      </c>
      <c r="AR105" s="10">
        <f t="shared" si="76"/>
        <v>9</v>
      </c>
    </row>
    <row r="106" spans="3:44" ht="15.75" thickBot="1">
      <c r="C106" s="56" t="s">
        <v>36</v>
      </c>
      <c r="D106" s="230"/>
      <c r="E106" s="84" t="str">
        <f>IF(E90&gt;0,E90,0)</f>
        <v>Sami Ruohonen</v>
      </c>
      <c r="F106" s="78" t="e">
        <f>IF(E91&gt;0,E91,0)</f>
        <v>#N/A</v>
      </c>
      <c r="G106" s="1"/>
      <c r="H106" s="28"/>
      <c r="I106" s="400"/>
      <c r="J106" s="402"/>
      <c r="K106" s="400"/>
      <c r="L106" s="402"/>
      <c r="M106" s="400"/>
      <c r="N106" s="402"/>
      <c r="O106" s="400"/>
      <c r="P106" s="402"/>
      <c r="Q106" s="400"/>
      <c r="R106" s="401"/>
      <c r="S106" s="221">
        <f t="shared" si="65"/>
        <v>0</v>
      </c>
      <c r="T106" s="224">
        <f t="shared" si="66"/>
        <v>0</v>
      </c>
      <c r="U106" s="184">
        <f t="shared" si="77"/>
        <v>0</v>
      </c>
      <c r="V106" s="185">
        <f t="shared" si="77"/>
        <v>0</v>
      </c>
      <c r="W106" s="380"/>
      <c r="X106" s="397"/>
      <c r="Y106" s="397"/>
      <c r="Z106" s="361"/>
      <c r="AA106" s="361"/>
      <c r="AB106" s="361"/>
      <c r="AC106" s="361"/>
      <c r="AD106" s="361"/>
      <c r="AE106" s="327"/>
      <c r="AG106" s="253">
        <f>IF(AND(AG90=1,AG91=1),1,"")</f>
      </c>
      <c r="AH106" s="13"/>
      <c r="AI106" s="11">
        <f t="shared" si="67"/>
        <v>0</v>
      </c>
      <c r="AJ106" s="12">
        <f t="shared" si="68"/>
        <v>0</v>
      </c>
      <c r="AK106" s="11">
        <f t="shared" si="69"/>
        <v>0</v>
      </c>
      <c r="AL106" s="12">
        <f t="shared" si="70"/>
        <v>0</v>
      </c>
      <c r="AM106" s="11">
        <f t="shared" si="71"/>
        <v>0</v>
      </c>
      <c r="AN106" s="12">
        <f t="shared" si="72"/>
        <v>0</v>
      </c>
      <c r="AO106" s="11">
        <f t="shared" si="73"/>
        <v>0</v>
      </c>
      <c r="AP106" s="12">
        <f t="shared" si="74"/>
        <v>0</v>
      </c>
      <c r="AQ106" s="11">
        <f t="shared" si="75"/>
        <v>0</v>
      </c>
      <c r="AR106" s="12">
        <f t="shared" si="76"/>
        <v>0</v>
      </c>
    </row>
    <row r="107" spans="3:44" ht="15">
      <c r="C107" s="53" t="s">
        <v>25</v>
      </c>
      <c r="D107" s="229"/>
      <c r="E107" s="82" t="str">
        <f>IF(E87&gt;0,E87,0)</f>
        <v>Aleksi Mustonen</v>
      </c>
      <c r="F107" s="76" t="str">
        <f>IF(E88&gt;0,E88,0)</f>
        <v>Mika Rauvola</v>
      </c>
      <c r="G107" s="3"/>
      <c r="H107" s="4"/>
      <c r="I107" s="405">
        <v>-7</v>
      </c>
      <c r="J107" s="410"/>
      <c r="K107" s="405">
        <v>4</v>
      </c>
      <c r="L107" s="410"/>
      <c r="M107" s="411">
        <v>-12</v>
      </c>
      <c r="N107" s="410"/>
      <c r="O107" s="405">
        <v>-6</v>
      </c>
      <c r="P107" s="410"/>
      <c r="Q107" s="405"/>
      <c r="R107" s="406"/>
      <c r="S107" s="219">
        <f t="shared" si="65"/>
        <v>1</v>
      </c>
      <c r="T107" s="222">
        <f t="shared" si="66"/>
        <v>3</v>
      </c>
      <c r="U107" s="179">
        <f t="shared" si="77"/>
        <v>36</v>
      </c>
      <c r="V107" s="180">
        <f t="shared" si="77"/>
        <v>40</v>
      </c>
      <c r="W107" s="380"/>
      <c r="X107" s="397"/>
      <c r="Y107" s="397"/>
      <c r="Z107" s="361"/>
      <c r="AA107" s="361"/>
      <c r="AB107" s="361"/>
      <c r="AC107" s="361"/>
      <c r="AD107" s="361"/>
      <c r="AE107" s="327"/>
      <c r="AG107" s="253">
        <f>IF(AND(AG87=1,AG88=1),1,"")</f>
      </c>
      <c r="AH107" s="13"/>
      <c r="AI107" s="6">
        <f t="shared" si="67"/>
        <v>7</v>
      </c>
      <c r="AJ107" s="7">
        <f t="shared" si="68"/>
        <v>11</v>
      </c>
      <c r="AK107" s="6">
        <f t="shared" si="69"/>
        <v>11</v>
      </c>
      <c r="AL107" s="7">
        <f t="shared" si="70"/>
        <v>4</v>
      </c>
      <c r="AM107" s="6">
        <f t="shared" si="71"/>
        <v>12</v>
      </c>
      <c r="AN107" s="7">
        <f t="shared" si="72"/>
        <v>14</v>
      </c>
      <c r="AO107" s="6">
        <f t="shared" si="73"/>
        <v>6</v>
      </c>
      <c r="AP107" s="7">
        <f t="shared" si="74"/>
        <v>11</v>
      </c>
      <c r="AQ107" s="6">
        <f t="shared" si="75"/>
        <v>0</v>
      </c>
      <c r="AR107" s="7">
        <f t="shared" si="76"/>
        <v>0</v>
      </c>
    </row>
    <row r="108" spans="3:44" ht="15">
      <c r="C108" s="53" t="s">
        <v>26</v>
      </c>
      <c r="D108" s="229"/>
      <c r="E108" s="82" t="str">
        <f>IF(E89&gt;0,E89,0)</f>
        <v>Tero Tamminen</v>
      </c>
      <c r="F108" s="76" t="str">
        <f>IF(E90&gt;0,E90,0)</f>
        <v>Sami Ruohonen</v>
      </c>
      <c r="G108" s="8"/>
      <c r="H108" s="4"/>
      <c r="I108" s="398">
        <v>10</v>
      </c>
      <c r="J108" s="409"/>
      <c r="K108" s="398">
        <v>-11</v>
      </c>
      <c r="L108" s="409"/>
      <c r="M108" s="398">
        <v>-6</v>
      </c>
      <c r="N108" s="409"/>
      <c r="O108" s="398">
        <v>-8</v>
      </c>
      <c r="P108" s="409"/>
      <c r="Q108" s="398"/>
      <c r="R108" s="399"/>
      <c r="S108" s="220">
        <f t="shared" si="65"/>
        <v>1</v>
      </c>
      <c r="T108" s="223">
        <f t="shared" si="66"/>
        <v>3</v>
      </c>
      <c r="U108" s="31">
        <f t="shared" si="77"/>
        <v>37</v>
      </c>
      <c r="V108" s="27">
        <f t="shared" si="77"/>
        <v>45</v>
      </c>
      <c r="W108" s="380"/>
      <c r="X108" s="397"/>
      <c r="Y108" s="397"/>
      <c r="Z108" s="361"/>
      <c r="AA108" s="361"/>
      <c r="AB108" s="361"/>
      <c r="AC108" s="361"/>
      <c r="AD108" s="361"/>
      <c r="AE108" s="327"/>
      <c r="AG108" s="253">
        <f>IF(AND(AG89=1,AG90=1),1,"")</f>
      </c>
      <c r="AH108" s="13"/>
      <c r="AI108" s="9">
        <f t="shared" si="67"/>
        <v>12</v>
      </c>
      <c r="AJ108" s="10">
        <f t="shared" si="68"/>
        <v>10</v>
      </c>
      <c r="AK108" s="9">
        <f t="shared" si="69"/>
        <v>11</v>
      </c>
      <c r="AL108" s="10">
        <f t="shared" si="70"/>
        <v>13</v>
      </c>
      <c r="AM108" s="9">
        <f t="shared" si="71"/>
        <v>6</v>
      </c>
      <c r="AN108" s="10">
        <f t="shared" si="72"/>
        <v>11</v>
      </c>
      <c r="AO108" s="9">
        <f t="shared" si="73"/>
        <v>8</v>
      </c>
      <c r="AP108" s="10">
        <f t="shared" si="74"/>
        <v>11</v>
      </c>
      <c r="AQ108" s="9">
        <f t="shared" si="75"/>
        <v>0</v>
      </c>
      <c r="AR108" s="10">
        <f t="shared" si="76"/>
        <v>0</v>
      </c>
    </row>
    <row r="109" spans="3:44" ht="15.75" thickBot="1">
      <c r="C109" s="56" t="s">
        <v>37</v>
      </c>
      <c r="D109" s="230"/>
      <c r="E109" s="89" t="e">
        <f>IF(E91&gt;0,E91,0)</f>
        <v>#N/A</v>
      </c>
      <c r="F109" s="90" t="str">
        <f>IF(E92&gt;0,E92,0)</f>
        <v>Thomas Lundström</v>
      </c>
      <c r="G109" s="1"/>
      <c r="H109" s="28"/>
      <c r="I109" s="400"/>
      <c r="J109" s="402"/>
      <c r="K109" s="400"/>
      <c r="L109" s="402"/>
      <c r="M109" s="400"/>
      <c r="N109" s="402"/>
      <c r="O109" s="400"/>
      <c r="P109" s="402"/>
      <c r="Q109" s="400"/>
      <c r="R109" s="401"/>
      <c r="S109" s="221">
        <f t="shared" si="65"/>
        <v>0</v>
      </c>
      <c r="T109" s="224">
        <f t="shared" si="66"/>
        <v>0</v>
      </c>
      <c r="U109" s="158">
        <f t="shared" si="77"/>
        <v>0</v>
      </c>
      <c r="V109" s="159">
        <f t="shared" si="77"/>
        <v>0</v>
      </c>
      <c r="W109" s="380"/>
      <c r="X109" s="397"/>
      <c r="Y109" s="397"/>
      <c r="Z109" s="361"/>
      <c r="AA109" s="361"/>
      <c r="AB109" s="361"/>
      <c r="AC109" s="361"/>
      <c r="AD109" s="361"/>
      <c r="AE109" s="327"/>
      <c r="AG109" s="253">
        <f>IF(AND(AG91=1,AG92=1),1,"")</f>
      </c>
      <c r="AH109" s="13"/>
      <c r="AI109" s="9">
        <f t="shared" si="67"/>
        <v>0</v>
      </c>
      <c r="AJ109" s="10">
        <f t="shared" si="68"/>
        <v>0</v>
      </c>
      <c r="AK109" s="9">
        <f t="shared" si="69"/>
        <v>0</v>
      </c>
      <c r="AL109" s="10">
        <f t="shared" si="70"/>
        <v>0</v>
      </c>
      <c r="AM109" s="9">
        <f t="shared" si="71"/>
        <v>0</v>
      </c>
      <c r="AN109" s="10">
        <f t="shared" si="72"/>
        <v>0</v>
      </c>
      <c r="AO109" s="9">
        <f t="shared" si="73"/>
        <v>0</v>
      </c>
      <c r="AP109" s="10">
        <f t="shared" si="74"/>
        <v>0</v>
      </c>
      <c r="AQ109" s="9">
        <f t="shared" si="75"/>
        <v>0</v>
      </c>
      <c r="AR109" s="10">
        <f t="shared" si="76"/>
        <v>0</v>
      </c>
    </row>
    <row r="110" spans="24:31" ht="15">
      <c r="X110" s="362"/>
      <c r="Y110" s="362"/>
      <c r="Z110" s="362"/>
      <c r="AA110" s="362"/>
      <c r="AB110" s="362"/>
      <c r="AC110" s="362"/>
      <c r="AD110" s="362"/>
      <c r="AE110" s="327"/>
    </row>
    <row r="111" ht="15.75">
      <c r="C111" s="190" t="s">
        <v>63</v>
      </c>
    </row>
    <row r="112" spans="3:4" ht="15">
      <c r="C112" s="225"/>
      <c r="D112" s="225"/>
    </row>
    <row r="113" spans="3:6" ht="15">
      <c r="C113">
        <v>1</v>
      </c>
      <c r="E113" s="242" t="str">
        <f>VLOOKUP(1,$B$59:$F$64,4,FALSE)</f>
        <v>Alex Naumi</v>
      </c>
      <c r="F113" s="242" t="str">
        <f>VLOOKUP(1,$B$59:$F$64,5,FALSE)</f>
        <v>KoKa</v>
      </c>
    </row>
    <row r="114" spans="3:6" ht="15">
      <c r="C114">
        <v>2</v>
      </c>
      <c r="E114" s="242" t="str">
        <f>VLOOKUP(2,$B$59:$F$64,4,FALSE)</f>
        <v>Jani Jormanainen</v>
      </c>
      <c r="F114" s="242" t="str">
        <f>VLOOKUP(2,$B$59:$F$64,5,FALSE)</f>
        <v>PT Espoo</v>
      </c>
    </row>
    <row r="115" spans="3:6" ht="15">
      <c r="C115">
        <v>3</v>
      </c>
      <c r="E115" s="242" t="str">
        <f>VLOOKUP(3,$B$59:$F$64,4,FALSE)</f>
        <v>Chau Dinh Huy</v>
      </c>
      <c r="F115" s="242" t="str">
        <f>VLOOKUP(3,$B$59:$F$64,5,FALSE)</f>
        <v>PT Espoo</v>
      </c>
    </row>
    <row r="116" spans="3:6" ht="15">
      <c r="C116">
        <v>4</v>
      </c>
      <c r="E116" s="242" t="str">
        <f>VLOOKUP(4,$B$59:$F$64,4,FALSE)</f>
        <v>Veikka Flemming</v>
      </c>
      <c r="F116" s="242" t="str">
        <f>VLOOKUP(4,$B$59:$F$64,5,FALSE)</f>
        <v>KoKa</v>
      </c>
    </row>
    <row r="117" spans="3:6" ht="15">
      <c r="C117">
        <v>5</v>
      </c>
      <c r="E117" s="242" t="str">
        <f>VLOOKUP(5,$B$59:$F$64,4,FALSE)</f>
        <v>Jussi Mäkelä</v>
      </c>
      <c r="F117" s="242" t="str">
        <f>VLOOKUP(5,$B$59:$F$64,5,FALSE)</f>
        <v>TIP-70</v>
      </c>
    </row>
    <row r="118" spans="3:6" ht="15">
      <c r="C118">
        <v>6</v>
      </c>
      <c r="E118" s="242" t="str">
        <f>VLOOKUP(6,$B$59:$F$64,4,FALSE)</f>
        <v>Mika Tuomola</v>
      </c>
      <c r="F118" s="242" t="str">
        <f>VLOOKUP(6,$B$59:$F$64,5,FALSE)</f>
        <v>PT 75</v>
      </c>
    </row>
    <row r="119" spans="3:6" ht="15">
      <c r="C119">
        <v>7</v>
      </c>
      <c r="E119" s="242" t="str">
        <f>VLOOKUP(7,$B$87:$F$92,4,FALSE)</f>
        <v>Mika Rauvola</v>
      </c>
      <c r="F119" s="242" t="str">
        <f>VLOOKUP(7,$B$87:$F$92,5,FALSE)</f>
        <v>IPT-94</v>
      </c>
    </row>
    <row r="120" spans="3:6" ht="15">
      <c r="C120">
        <v>8</v>
      </c>
      <c r="E120" s="242" t="str">
        <f>VLOOKUP(8,$B$87:$F$92,4,FALSE)</f>
        <v>Aleksi Mustonen</v>
      </c>
      <c r="F120" s="242" t="str">
        <f>VLOOKUP(8,$B$87:$F$92,5,FALSE)</f>
        <v>TIP-70</v>
      </c>
    </row>
    <row r="121" spans="3:6" ht="15">
      <c r="C121">
        <v>9</v>
      </c>
      <c r="E121" s="242" t="str">
        <f>VLOOKUP(9,$B$87:$F$92,4,FALSE)</f>
        <v>Sami Ruohonen</v>
      </c>
      <c r="F121" s="242" t="str">
        <f>VLOOKUP(9,$B$87:$F$92,5,FALSE)</f>
        <v>KoKa</v>
      </c>
    </row>
    <row r="122" spans="3:6" ht="15">
      <c r="C122">
        <v>10</v>
      </c>
      <c r="E122" s="242" t="str">
        <f>VLOOKUP(10,$B$87:$F$92,4,FALSE)</f>
        <v>Tero Tamminen</v>
      </c>
      <c r="F122" s="242" t="str">
        <f>VLOOKUP(10,$B$87:$F$92,5,FALSE)</f>
        <v>PT Espoo</v>
      </c>
    </row>
    <row r="123" spans="3:6" ht="15">
      <c r="C123">
        <v>11</v>
      </c>
      <c r="E123" s="242" t="str">
        <f>VLOOKUP(11,$B$87:$F$92,4,FALSE)</f>
        <v>Thomas Lundström</v>
      </c>
      <c r="F123" s="242" t="str">
        <f>VLOOKUP(11,$B$87:$F$92,5,FALSE)</f>
        <v>MBF</v>
      </c>
    </row>
    <row r="124" spans="3:6" ht="15">
      <c r="C124">
        <v>12</v>
      </c>
      <c r="E124" s="242" t="e">
        <f>VLOOKUP(12,$B$87:$F$92,4,FALSE)</f>
        <v>#N/A</v>
      </c>
      <c r="F124" s="242" t="e">
        <f>VLOOKUP(12,$B$87:$F$92,5,FALSE)</f>
        <v>#N/A</v>
      </c>
    </row>
  </sheetData>
  <sheetProtection/>
  <mergeCells count="391">
    <mergeCell ref="S44:T44"/>
    <mergeCell ref="S45:T45"/>
    <mergeCell ref="U59:V59"/>
    <mergeCell ref="U60:V60"/>
    <mergeCell ref="S28:T28"/>
    <mergeCell ref="S41:T41"/>
    <mergeCell ref="S42:T42"/>
    <mergeCell ref="S43:T43"/>
    <mergeCell ref="U43:V43"/>
    <mergeCell ref="U44:V44"/>
    <mergeCell ref="S10:T10"/>
    <mergeCell ref="S11:T11"/>
    <mergeCell ref="S25:T25"/>
    <mergeCell ref="S26:T26"/>
    <mergeCell ref="AU7:AV7"/>
    <mergeCell ref="AW7:AX7"/>
    <mergeCell ref="U11:V11"/>
    <mergeCell ref="S9:T9"/>
    <mergeCell ref="U26:V26"/>
    <mergeCell ref="AY7:AZ7"/>
    <mergeCell ref="S8:T8"/>
    <mergeCell ref="AU24:AV24"/>
    <mergeCell ref="AW24:AX24"/>
    <mergeCell ref="AY24:AZ24"/>
    <mergeCell ref="AU41:AV41"/>
    <mergeCell ref="AW41:AX41"/>
    <mergeCell ref="AY41:AZ41"/>
    <mergeCell ref="U9:V9"/>
    <mergeCell ref="U10:V10"/>
    <mergeCell ref="M5:P5"/>
    <mergeCell ref="S5:V5"/>
    <mergeCell ref="G6:I6"/>
    <mergeCell ref="J6:L6"/>
    <mergeCell ref="M6:P6"/>
    <mergeCell ref="S6:V6"/>
    <mergeCell ref="O7:P7"/>
    <mergeCell ref="U7:V7"/>
    <mergeCell ref="U8:V8"/>
    <mergeCell ref="S7:T7"/>
    <mergeCell ref="G7:H7"/>
    <mergeCell ref="I7:J7"/>
    <mergeCell ref="K7:L7"/>
    <mergeCell ref="M7:N7"/>
    <mergeCell ref="I13:J13"/>
    <mergeCell ref="K13:L13"/>
    <mergeCell ref="M13:N13"/>
    <mergeCell ref="O13:P13"/>
    <mergeCell ref="Q13:R13"/>
    <mergeCell ref="S13:T13"/>
    <mergeCell ref="Q14:R14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Q16:R16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8:R18"/>
    <mergeCell ref="I19:J19"/>
    <mergeCell ref="K19:L19"/>
    <mergeCell ref="M19:N19"/>
    <mergeCell ref="O19:P19"/>
    <mergeCell ref="Q19:R19"/>
    <mergeCell ref="I18:J18"/>
    <mergeCell ref="K18:L18"/>
    <mergeCell ref="M18:N18"/>
    <mergeCell ref="O18:P18"/>
    <mergeCell ref="M22:P22"/>
    <mergeCell ref="S22:V22"/>
    <mergeCell ref="G23:I23"/>
    <mergeCell ref="J23:L23"/>
    <mergeCell ref="M23:P23"/>
    <mergeCell ref="S23:V23"/>
    <mergeCell ref="O24:P24"/>
    <mergeCell ref="U24:V24"/>
    <mergeCell ref="U25:V25"/>
    <mergeCell ref="S24:T24"/>
    <mergeCell ref="G24:H24"/>
    <mergeCell ref="I24:J24"/>
    <mergeCell ref="K24:L24"/>
    <mergeCell ref="M24:N24"/>
    <mergeCell ref="U27:V27"/>
    <mergeCell ref="U28:V28"/>
    <mergeCell ref="I30:J30"/>
    <mergeCell ref="K30:L30"/>
    <mergeCell ref="M30:N30"/>
    <mergeCell ref="O30:P30"/>
    <mergeCell ref="Q30:R30"/>
    <mergeCell ref="S30:T30"/>
    <mergeCell ref="S27:T27"/>
    <mergeCell ref="Q31:R31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Q33:R33"/>
    <mergeCell ref="I34:J34"/>
    <mergeCell ref="K34:L34"/>
    <mergeCell ref="M34:N34"/>
    <mergeCell ref="O34:P34"/>
    <mergeCell ref="Q34:R34"/>
    <mergeCell ref="I33:J33"/>
    <mergeCell ref="K33:L33"/>
    <mergeCell ref="M33:N33"/>
    <mergeCell ref="O33:P33"/>
    <mergeCell ref="Q35:R35"/>
    <mergeCell ref="I36:J36"/>
    <mergeCell ref="K36:L36"/>
    <mergeCell ref="M36:N36"/>
    <mergeCell ref="O36:P36"/>
    <mergeCell ref="Q36:R36"/>
    <mergeCell ref="I35:J35"/>
    <mergeCell ref="K35:L35"/>
    <mergeCell ref="M35:N35"/>
    <mergeCell ref="O35:P35"/>
    <mergeCell ref="G41:H41"/>
    <mergeCell ref="I41:J41"/>
    <mergeCell ref="K41:L41"/>
    <mergeCell ref="M41:N41"/>
    <mergeCell ref="M39:P39"/>
    <mergeCell ref="S39:V39"/>
    <mergeCell ref="G40:I40"/>
    <mergeCell ref="J40:L40"/>
    <mergeCell ref="M40:P40"/>
    <mergeCell ref="S40:V40"/>
    <mergeCell ref="U45:V45"/>
    <mergeCell ref="BA86:BB86"/>
    <mergeCell ref="AQ58:AR58"/>
    <mergeCell ref="U61:V61"/>
    <mergeCell ref="U62:V62"/>
    <mergeCell ref="U63:V63"/>
    <mergeCell ref="U64:V64"/>
    <mergeCell ref="BA58:BB58"/>
    <mergeCell ref="Q47:R47"/>
    <mergeCell ref="S47:T47"/>
    <mergeCell ref="Q48:R48"/>
    <mergeCell ref="Q49:R49"/>
    <mergeCell ref="O47:P47"/>
    <mergeCell ref="I49:J49"/>
    <mergeCell ref="K49:L49"/>
    <mergeCell ref="M49:N49"/>
    <mergeCell ref="O49:P49"/>
    <mergeCell ref="O41:P41"/>
    <mergeCell ref="U41:V41"/>
    <mergeCell ref="U42:V42"/>
    <mergeCell ref="I48:J48"/>
    <mergeCell ref="K48:L48"/>
    <mergeCell ref="M48:N48"/>
    <mergeCell ref="O48:P48"/>
    <mergeCell ref="I47:J47"/>
    <mergeCell ref="K47:L47"/>
    <mergeCell ref="M47:N47"/>
    <mergeCell ref="Q51:R51"/>
    <mergeCell ref="I50:J50"/>
    <mergeCell ref="K50:L50"/>
    <mergeCell ref="M50:N50"/>
    <mergeCell ref="O50:P50"/>
    <mergeCell ref="I51:J51"/>
    <mergeCell ref="K51:L51"/>
    <mergeCell ref="M51:N51"/>
    <mergeCell ref="O51:P51"/>
    <mergeCell ref="Q50:R50"/>
    <mergeCell ref="Q53:R53"/>
    <mergeCell ref="I52:J52"/>
    <mergeCell ref="K52:L52"/>
    <mergeCell ref="M52:N52"/>
    <mergeCell ref="O52:P52"/>
    <mergeCell ref="I53:J53"/>
    <mergeCell ref="K53:L53"/>
    <mergeCell ref="M53:N53"/>
    <mergeCell ref="O53:P53"/>
    <mergeCell ref="Q52:R52"/>
    <mergeCell ref="J56:L56"/>
    <mergeCell ref="S56:V56"/>
    <mergeCell ref="G57:I57"/>
    <mergeCell ref="J57:L57"/>
    <mergeCell ref="M57:P57"/>
    <mergeCell ref="Q57:R57"/>
    <mergeCell ref="S57:V57"/>
    <mergeCell ref="S66:T66"/>
    <mergeCell ref="U66:V66"/>
    <mergeCell ref="U58:V58"/>
    <mergeCell ref="AQ86:AR86"/>
    <mergeCell ref="Q58:R58"/>
    <mergeCell ref="Q66:R66"/>
    <mergeCell ref="Q68:R68"/>
    <mergeCell ref="Q70:R70"/>
    <mergeCell ref="Q72:R72"/>
    <mergeCell ref="Q74:R74"/>
    <mergeCell ref="I67:J67"/>
    <mergeCell ref="K67:L67"/>
    <mergeCell ref="M66:N66"/>
    <mergeCell ref="O66:P66"/>
    <mergeCell ref="Q67:R67"/>
    <mergeCell ref="M58:N58"/>
    <mergeCell ref="M67:N67"/>
    <mergeCell ref="O67:P67"/>
    <mergeCell ref="G58:H58"/>
    <mergeCell ref="I58:J58"/>
    <mergeCell ref="K58:L58"/>
    <mergeCell ref="I66:J66"/>
    <mergeCell ref="K66:L66"/>
    <mergeCell ref="O58:P58"/>
    <mergeCell ref="I69:J69"/>
    <mergeCell ref="K69:L69"/>
    <mergeCell ref="M69:N69"/>
    <mergeCell ref="O69:P69"/>
    <mergeCell ref="Q69:R69"/>
    <mergeCell ref="I68:J68"/>
    <mergeCell ref="K68:L68"/>
    <mergeCell ref="M68:N68"/>
    <mergeCell ref="O68:P68"/>
    <mergeCell ref="I71:J71"/>
    <mergeCell ref="K71:L71"/>
    <mergeCell ref="M71:N71"/>
    <mergeCell ref="O71:P71"/>
    <mergeCell ref="Q71:R71"/>
    <mergeCell ref="I70:J70"/>
    <mergeCell ref="K70:L70"/>
    <mergeCell ref="M70:N70"/>
    <mergeCell ref="O70:P70"/>
    <mergeCell ref="I73:J73"/>
    <mergeCell ref="K73:L73"/>
    <mergeCell ref="M73:N73"/>
    <mergeCell ref="O73:P73"/>
    <mergeCell ref="Q73:R73"/>
    <mergeCell ref="I72:J72"/>
    <mergeCell ref="K72:L72"/>
    <mergeCell ref="M72:N72"/>
    <mergeCell ref="O72:P72"/>
    <mergeCell ref="I75:J75"/>
    <mergeCell ref="K75:L75"/>
    <mergeCell ref="M75:N75"/>
    <mergeCell ref="O75:P75"/>
    <mergeCell ref="Q75:R75"/>
    <mergeCell ref="I74:J74"/>
    <mergeCell ref="K74:L74"/>
    <mergeCell ref="M74:N74"/>
    <mergeCell ref="O74:P74"/>
    <mergeCell ref="Q76:R76"/>
    <mergeCell ref="I77:J77"/>
    <mergeCell ref="K77:L77"/>
    <mergeCell ref="M77:N77"/>
    <mergeCell ref="O77:P77"/>
    <mergeCell ref="Q77:R77"/>
    <mergeCell ref="I76:J76"/>
    <mergeCell ref="K76:L76"/>
    <mergeCell ref="M76:N76"/>
    <mergeCell ref="O76:P76"/>
    <mergeCell ref="Q78:R78"/>
    <mergeCell ref="I79:J79"/>
    <mergeCell ref="K79:L79"/>
    <mergeCell ref="M79:N79"/>
    <mergeCell ref="O79:P79"/>
    <mergeCell ref="Q79:R79"/>
    <mergeCell ref="I78:J78"/>
    <mergeCell ref="K78:L78"/>
    <mergeCell ref="M78:N78"/>
    <mergeCell ref="O78:P78"/>
    <mergeCell ref="Q80:R80"/>
    <mergeCell ref="I81:J81"/>
    <mergeCell ref="K81:L81"/>
    <mergeCell ref="M81:N81"/>
    <mergeCell ref="O81:P81"/>
    <mergeCell ref="Q81:R81"/>
    <mergeCell ref="I80:J80"/>
    <mergeCell ref="K80:L80"/>
    <mergeCell ref="M80:N80"/>
    <mergeCell ref="O80:P80"/>
    <mergeCell ref="G85:I85"/>
    <mergeCell ref="J85:L85"/>
    <mergeCell ref="M85:P85"/>
    <mergeCell ref="G86:H86"/>
    <mergeCell ref="I86:J86"/>
    <mergeCell ref="K86:L86"/>
    <mergeCell ref="M86:N86"/>
    <mergeCell ref="O86:P86"/>
    <mergeCell ref="J84:L84"/>
    <mergeCell ref="S84:V84"/>
    <mergeCell ref="Q85:R85"/>
    <mergeCell ref="S85:V85"/>
    <mergeCell ref="Q86:R86"/>
    <mergeCell ref="S94:T94"/>
    <mergeCell ref="U94:V94"/>
    <mergeCell ref="U86:V86"/>
    <mergeCell ref="U87:V87"/>
    <mergeCell ref="U88:V88"/>
    <mergeCell ref="U92:V92"/>
    <mergeCell ref="Q95:R95"/>
    <mergeCell ref="I94:J94"/>
    <mergeCell ref="K94:L94"/>
    <mergeCell ref="M94:N94"/>
    <mergeCell ref="O94:P94"/>
    <mergeCell ref="I95:J95"/>
    <mergeCell ref="K95:L95"/>
    <mergeCell ref="M95:N95"/>
    <mergeCell ref="O95:P95"/>
    <mergeCell ref="Q94:R94"/>
    <mergeCell ref="Q96:R96"/>
    <mergeCell ref="I97:J97"/>
    <mergeCell ref="K97:L97"/>
    <mergeCell ref="M97:N97"/>
    <mergeCell ref="O97:P97"/>
    <mergeCell ref="Q97:R97"/>
    <mergeCell ref="I96:J96"/>
    <mergeCell ref="K96:L96"/>
    <mergeCell ref="M96:N96"/>
    <mergeCell ref="O96:P96"/>
    <mergeCell ref="Q98:R98"/>
    <mergeCell ref="I99:J99"/>
    <mergeCell ref="K99:L99"/>
    <mergeCell ref="M99:N99"/>
    <mergeCell ref="O99:P99"/>
    <mergeCell ref="Q99:R99"/>
    <mergeCell ref="I98:J98"/>
    <mergeCell ref="K98:L98"/>
    <mergeCell ref="M98:N98"/>
    <mergeCell ref="O98:P98"/>
    <mergeCell ref="Q100:R100"/>
    <mergeCell ref="I101:J101"/>
    <mergeCell ref="K101:L101"/>
    <mergeCell ref="M101:N101"/>
    <mergeCell ref="O101:P101"/>
    <mergeCell ref="Q101:R101"/>
    <mergeCell ref="I100:J100"/>
    <mergeCell ref="K100:L100"/>
    <mergeCell ref="M100:N100"/>
    <mergeCell ref="O100:P100"/>
    <mergeCell ref="I102:J102"/>
    <mergeCell ref="K102:L102"/>
    <mergeCell ref="M102:N102"/>
    <mergeCell ref="O102:P102"/>
    <mergeCell ref="I103:J103"/>
    <mergeCell ref="K103:L103"/>
    <mergeCell ref="M103:N103"/>
    <mergeCell ref="O103:P103"/>
    <mergeCell ref="I104:J104"/>
    <mergeCell ref="K104:L104"/>
    <mergeCell ref="M104:N104"/>
    <mergeCell ref="O104:P104"/>
    <mergeCell ref="I105:J105"/>
    <mergeCell ref="K105:L105"/>
    <mergeCell ref="M105:N105"/>
    <mergeCell ref="O105:P105"/>
    <mergeCell ref="I108:J108"/>
    <mergeCell ref="K108:L108"/>
    <mergeCell ref="M108:N108"/>
    <mergeCell ref="O108:P108"/>
    <mergeCell ref="I109:J109"/>
    <mergeCell ref="I106:J106"/>
    <mergeCell ref="K106:L106"/>
    <mergeCell ref="M106:N106"/>
    <mergeCell ref="O106:P106"/>
    <mergeCell ref="I107:J107"/>
    <mergeCell ref="BA7:BB7"/>
    <mergeCell ref="BA24:BB24"/>
    <mergeCell ref="BA41:BB41"/>
    <mergeCell ref="Q108:R108"/>
    <mergeCell ref="Q106:R106"/>
    <mergeCell ref="Q107:R107"/>
    <mergeCell ref="Q104:R104"/>
    <mergeCell ref="U89:V89"/>
    <mergeCell ref="U90:V90"/>
    <mergeCell ref="U91:V91"/>
    <mergeCell ref="Q105:R105"/>
    <mergeCell ref="Q102:R102"/>
    <mergeCell ref="Q103:R103"/>
    <mergeCell ref="K109:L109"/>
    <mergeCell ref="M109:N109"/>
    <mergeCell ref="O109:P109"/>
    <mergeCell ref="Q109:R109"/>
    <mergeCell ref="K107:L107"/>
    <mergeCell ref="M107:N107"/>
    <mergeCell ref="O107:P107"/>
  </mergeCells>
  <printOptions/>
  <pageMargins left="0.6" right="0.42" top="0.78" bottom="0.47" header="0.31" footer="0.33"/>
  <pageSetup fitToHeight="2" horizontalDpi="600" verticalDpi="600" orientation="portrait" paperSize="9" scale="85" r:id="rId2"/>
  <rowBreaks count="2" manualBreakCount="2">
    <brk id="54" min="2" max="23" man="1"/>
    <brk id="110" min="2" max="23" man="1"/>
  </rowBreaks>
  <ignoredErrors>
    <ignoredError sqref="G24" numberStoredAsText="1"/>
    <ignoredError sqref="E84:E8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zoomScalePageLayoutView="0" workbookViewId="0" topLeftCell="A1">
      <selection activeCell="C1" sqref="C1:W50"/>
    </sheetView>
  </sheetViews>
  <sheetFormatPr defaultColWidth="8.88671875" defaultRowHeight="15"/>
  <cols>
    <col min="1" max="1" width="8.3359375" style="0" customWidth="1"/>
    <col min="2" max="2" width="7.88671875" style="0" customWidth="1"/>
    <col min="3" max="3" width="14.5546875" style="0" customWidth="1"/>
    <col min="4" max="4" width="13.21484375" style="0" customWidth="1"/>
    <col min="5" max="5" width="5.88671875" style="0" customWidth="1"/>
    <col min="6" max="20" width="4.5546875" style="0" customWidth="1"/>
    <col min="21" max="21" width="3.99609375" style="0" customWidth="1"/>
    <col min="22" max="22" width="4.10546875" style="0" customWidth="1"/>
    <col min="23" max="23" width="4.8867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Kimmo Arenius</cp:lastModifiedBy>
  <cp:lastPrinted>2012-04-08T20:17:17Z</cp:lastPrinted>
  <dcterms:created xsi:type="dcterms:W3CDTF">2004-10-26T13:39:47Z</dcterms:created>
  <dcterms:modified xsi:type="dcterms:W3CDTF">2015-10-03T12:42:11Z</dcterms:modified>
  <cp:category/>
  <cp:version/>
  <cp:contentType/>
  <cp:contentStatus/>
</cp:coreProperties>
</file>